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2fb64bad3d636e3/Documents/HSCSL/"/>
    </mc:Choice>
  </mc:AlternateContent>
  <xr:revisionPtr revIDLastSave="1627" documentId="8_{945B2886-828D-42DC-B5FA-95FECAAC98EE}" xr6:coauthVersionLast="47" xr6:coauthVersionMax="47" xr10:uidLastSave="{F6645324-6EF4-4E76-9B81-C80B17B86703}"/>
  <bookViews>
    <workbookView xWindow="-120" yWindow="-16320" windowWidth="29040" windowHeight="15720" tabRatio="881" activeTab="1" xr2:uid="{00000000-000D-0000-FFFF-FFFF00000000}"/>
  </bookViews>
  <sheets>
    <sheet name="Frontsheet" sheetId="14" r:id="rId1"/>
    <sheet name="2023 Financial Statements" sheetId="5" r:id="rId2"/>
    <sheet name="2023 Accounts Summary" sheetId="13" r:id="rId3"/>
    <sheet name="2023 Membership Income" sheetId="9" r:id="rId4"/>
    <sheet name="2023 Gala Expenses" sheetId="11" r:id="rId5"/>
    <sheet name="Statement Entries 010123-311223" sheetId="12" r:id="rId6"/>
    <sheet name="2022 Accounts Summary" sheetId="4" state="hidden" r:id="rId7"/>
    <sheet name="2022 Membership Income" sheetId="1" state="hidden" r:id="rId8"/>
    <sheet name="2022 Gala Expenses" sheetId="2" state="hidden" r:id="rId9"/>
    <sheet name="Statement Entries 010122-311222" sheetId="3" state="hidden" r:id="rId10"/>
    <sheet name="Statement Entries 010121-311221" sheetId="6" state="hidden" r:id="rId11"/>
    <sheet name="Statement Entries 010120-311220" sheetId="7" state="hidden" r:id="rId12"/>
    <sheet name="Statement Entries 010119-211219" sheetId="8" state="hidden" r:id="rId13"/>
  </sheets>
  <definedNames>
    <definedName name="_xlnm.Print_Area" localSheetId="0">Frontsheet!$A$1:$C$30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5" l="1"/>
  <c r="C20" i="5"/>
  <c r="C19" i="5"/>
  <c r="C18" i="5"/>
  <c r="C17" i="5"/>
  <c r="C16" i="5"/>
  <c r="C12" i="5"/>
  <c r="C11" i="5"/>
  <c r="C10" i="5"/>
  <c r="C9" i="5"/>
  <c r="L40" i="13"/>
  <c r="L41" i="13" s="1"/>
  <c r="K40" i="13"/>
  <c r="J40" i="13"/>
  <c r="J41" i="13" s="1"/>
  <c r="I40" i="13"/>
  <c r="I41" i="13" s="1"/>
  <c r="H40" i="13"/>
  <c r="H41" i="13" s="1"/>
  <c r="G40" i="13"/>
  <c r="F40" i="13"/>
  <c r="F41" i="13" s="1"/>
  <c r="D40" i="13"/>
  <c r="C40" i="13"/>
  <c r="B40" i="13"/>
  <c r="L39" i="13"/>
  <c r="K39" i="13"/>
  <c r="G39" i="13"/>
  <c r="E39" i="13"/>
  <c r="D39" i="13"/>
  <c r="C39" i="13"/>
  <c r="B39" i="13"/>
  <c r="I27" i="13"/>
  <c r="F27" i="13"/>
  <c r="F28" i="13" s="1"/>
  <c r="G54" i="11"/>
  <c r="L25" i="13"/>
  <c r="L28" i="13" s="1"/>
  <c r="H25" i="13"/>
  <c r="K24" i="13"/>
  <c r="J24" i="13"/>
  <c r="J28" i="13" s="1"/>
  <c r="G24" i="13"/>
  <c r="D24" i="13"/>
  <c r="C26" i="13"/>
  <c r="N26" i="13" s="1"/>
  <c r="C24" i="13"/>
  <c r="G20" i="13"/>
  <c r="G19" i="13"/>
  <c r="C18" i="13"/>
  <c r="C21" i="13" s="1"/>
  <c r="L13" i="13"/>
  <c r="H13" i="13"/>
  <c r="B12" i="13"/>
  <c r="L8" i="13"/>
  <c r="L9" i="13" s="1"/>
  <c r="K8" i="13"/>
  <c r="K9" i="13" s="1"/>
  <c r="G8" i="13"/>
  <c r="E8" i="13"/>
  <c r="G7" i="13"/>
  <c r="D7" i="13"/>
  <c r="C7" i="13"/>
  <c r="N7" i="13" s="1"/>
  <c r="B7" i="13"/>
  <c r="G3" i="13"/>
  <c r="G4" i="13" s="1"/>
  <c r="D3" i="13"/>
  <c r="D4" i="13"/>
  <c r="C3" i="13"/>
  <c r="C4" i="13" s="1"/>
  <c r="B3" i="13"/>
  <c r="B4" i="13" s="1"/>
  <c r="J29" i="9"/>
  <c r="K29" i="9"/>
  <c r="L29" i="9"/>
  <c r="M29" i="9"/>
  <c r="O8" i="9"/>
  <c r="J8" i="9"/>
  <c r="C29" i="9"/>
  <c r="B29" i="9"/>
  <c r="I5" i="9"/>
  <c r="M41" i="13"/>
  <c r="E41" i="13"/>
  <c r="M32" i="13"/>
  <c r="L32" i="13"/>
  <c r="K32" i="13"/>
  <c r="J32" i="13"/>
  <c r="I32" i="13"/>
  <c r="H32" i="13"/>
  <c r="F32" i="13"/>
  <c r="E32" i="13"/>
  <c r="E34" i="13" s="1"/>
  <c r="D32" i="13"/>
  <c r="C32" i="13"/>
  <c r="B32" i="13"/>
  <c r="N31" i="13"/>
  <c r="H28" i="13"/>
  <c r="E28" i="13"/>
  <c r="D28" i="13"/>
  <c r="B28" i="13"/>
  <c r="I28" i="13"/>
  <c r="M28" i="13"/>
  <c r="M34" i="13" s="1"/>
  <c r="N25" i="13"/>
  <c r="M21" i="13"/>
  <c r="L21" i="13"/>
  <c r="K21" i="13"/>
  <c r="J21" i="13"/>
  <c r="I21" i="13"/>
  <c r="H21" i="13"/>
  <c r="H34" i="13" s="1"/>
  <c r="F21" i="13"/>
  <c r="E21" i="13"/>
  <c r="D21" i="13"/>
  <c r="B21" i="13"/>
  <c r="M13" i="13"/>
  <c r="K13" i="13"/>
  <c r="J13" i="13"/>
  <c r="I13" i="13"/>
  <c r="F13" i="13"/>
  <c r="E13" i="13"/>
  <c r="D13" i="13"/>
  <c r="G13" i="13"/>
  <c r="C13" i="13"/>
  <c r="B13" i="13"/>
  <c r="M9" i="13"/>
  <c r="J9" i="13"/>
  <c r="I9" i="13"/>
  <c r="I15" i="13" s="1"/>
  <c r="H9" i="13"/>
  <c r="F9" i="13"/>
  <c r="E9" i="13"/>
  <c r="D9" i="13"/>
  <c r="M4" i="13"/>
  <c r="M15" i="13" s="1"/>
  <c r="L4" i="13"/>
  <c r="K4" i="13"/>
  <c r="J4" i="13"/>
  <c r="I4" i="13"/>
  <c r="H4" i="13"/>
  <c r="F4" i="13"/>
  <c r="E4" i="13"/>
  <c r="E15" i="13" s="1"/>
  <c r="C32" i="5"/>
  <c r="C33" i="5" s="1"/>
  <c r="C42" i="5"/>
  <c r="G22" i="5"/>
  <c r="C35" i="5"/>
  <c r="G13" i="5"/>
  <c r="F44" i="12"/>
  <c r="G44" i="12"/>
  <c r="G49" i="3"/>
  <c r="H44" i="12"/>
  <c r="H2" i="12"/>
  <c r="H1" i="12" s="1"/>
  <c r="C98" i="11"/>
  <c r="G95" i="11" s="1"/>
  <c r="C87" i="11"/>
  <c r="G88" i="11" s="1"/>
  <c r="C84" i="11"/>
  <c r="C78" i="11"/>
  <c r="G81" i="11" s="1"/>
  <c r="G83" i="11" s="1"/>
  <c r="G70" i="11"/>
  <c r="H69" i="11"/>
  <c r="H68" i="11"/>
  <c r="G68" i="11"/>
  <c r="H67" i="11"/>
  <c r="G66" i="11"/>
  <c r="H66" i="11" s="1"/>
  <c r="H65" i="11"/>
  <c r="H64" i="11"/>
  <c r="H63" i="11"/>
  <c r="H62" i="11"/>
  <c r="G61" i="11"/>
  <c r="H61" i="11" s="1"/>
  <c r="H60" i="11"/>
  <c r="H59" i="11"/>
  <c r="H58" i="11"/>
  <c r="H53" i="11"/>
  <c r="H52" i="11"/>
  <c r="H51" i="11"/>
  <c r="F50" i="11"/>
  <c r="H50" i="11" s="1"/>
  <c r="H49" i="11"/>
  <c r="H48" i="11"/>
  <c r="H47" i="11"/>
  <c r="F47" i="11"/>
  <c r="F46" i="11"/>
  <c r="H46" i="11" s="1"/>
  <c r="F45" i="11"/>
  <c r="H45" i="11" s="1"/>
  <c r="F44" i="11"/>
  <c r="H44" i="11" s="1"/>
  <c r="H43" i="11"/>
  <c r="F43" i="11"/>
  <c r="H42" i="11"/>
  <c r="F42" i="11"/>
  <c r="F41" i="11"/>
  <c r="H41" i="11" s="1"/>
  <c r="G40" i="11"/>
  <c r="H40" i="11" s="1"/>
  <c r="H39" i="11"/>
  <c r="G39" i="11"/>
  <c r="H38" i="11"/>
  <c r="G34" i="11"/>
  <c r="C96" i="11" s="1"/>
  <c r="H28" i="11"/>
  <c r="H34" i="11" s="1"/>
  <c r="C95" i="11" s="1"/>
  <c r="C97" i="11" s="1"/>
  <c r="J25" i="11"/>
  <c r="C92" i="11" s="1"/>
  <c r="J16" i="11"/>
  <c r="C77" i="11" s="1"/>
  <c r="H15" i="11"/>
  <c r="C76" i="11" s="1"/>
  <c r="G15" i="11"/>
  <c r="C74" i="11" s="1"/>
  <c r="Q14" i="11"/>
  <c r="P14" i="11"/>
  <c r="O14" i="11"/>
  <c r="M14" i="11"/>
  <c r="N14" i="11" s="1"/>
  <c r="J14" i="11"/>
  <c r="Q13" i="11"/>
  <c r="P13" i="11"/>
  <c r="O13" i="11"/>
  <c r="M13" i="11"/>
  <c r="N13" i="11" s="1"/>
  <c r="J13" i="11"/>
  <c r="P12" i="11"/>
  <c r="O12" i="11"/>
  <c r="M12" i="11"/>
  <c r="N12" i="11" s="1"/>
  <c r="J12" i="11"/>
  <c r="Q12" i="11" s="1"/>
  <c r="P11" i="11"/>
  <c r="O11" i="11"/>
  <c r="M11" i="11"/>
  <c r="N11" i="11" s="1"/>
  <c r="J11" i="11"/>
  <c r="Q11" i="11" s="1"/>
  <c r="P10" i="11"/>
  <c r="O10" i="11"/>
  <c r="M10" i="11"/>
  <c r="N10" i="11" s="1"/>
  <c r="J10" i="11"/>
  <c r="Q10" i="11" s="1"/>
  <c r="P9" i="11"/>
  <c r="O9" i="11"/>
  <c r="M9" i="11"/>
  <c r="N9" i="11" s="1"/>
  <c r="J9" i="11"/>
  <c r="Q9" i="11" s="1"/>
  <c r="Q8" i="11"/>
  <c r="P8" i="11"/>
  <c r="O8" i="11"/>
  <c r="M8" i="11"/>
  <c r="N8" i="11" s="1"/>
  <c r="J8" i="11"/>
  <c r="P7" i="11"/>
  <c r="O7" i="11"/>
  <c r="M7" i="11"/>
  <c r="N7" i="11" s="1"/>
  <c r="J7" i="11"/>
  <c r="Q7" i="11" s="1"/>
  <c r="Q6" i="11"/>
  <c r="P6" i="11"/>
  <c r="O6" i="11"/>
  <c r="M6" i="11"/>
  <c r="N6" i="11" s="1"/>
  <c r="J6" i="11"/>
  <c r="Q5" i="11"/>
  <c r="P5" i="11"/>
  <c r="O5" i="11"/>
  <c r="M5" i="11"/>
  <c r="N5" i="11" s="1"/>
  <c r="J5" i="11"/>
  <c r="P4" i="11"/>
  <c r="O4" i="11"/>
  <c r="M4" i="11"/>
  <c r="N4" i="11" s="1"/>
  <c r="J4" i="11"/>
  <c r="Q4" i="11" s="1"/>
  <c r="P3" i="11"/>
  <c r="O3" i="11"/>
  <c r="M3" i="11"/>
  <c r="N3" i="11" s="1"/>
  <c r="J3" i="11"/>
  <c r="Q3" i="11" s="1"/>
  <c r="P2" i="11"/>
  <c r="O2" i="11"/>
  <c r="M2" i="11"/>
  <c r="N2" i="11" s="1"/>
  <c r="J2" i="11"/>
  <c r="D20" i="11" s="1"/>
  <c r="D22" i="5" l="1"/>
  <c r="D13" i="5"/>
  <c r="D24" i="5" s="1"/>
  <c r="C44" i="5" s="1"/>
  <c r="D45" i="5" s="1"/>
  <c r="D47" i="5" s="1"/>
  <c r="K41" i="13"/>
  <c r="G41" i="13"/>
  <c r="N40" i="13"/>
  <c r="I34" i="13"/>
  <c r="J34" i="13"/>
  <c r="C9" i="13"/>
  <c r="B41" i="13"/>
  <c r="F15" i="13"/>
  <c r="N39" i="13"/>
  <c r="G21" i="13"/>
  <c r="D41" i="13"/>
  <c r="F34" i="13"/>
  <c r="E36" i="13"/>
  <c r="J15" i="13"/>
  <c r="I36" i="13"/>
  <c r="I42" i="13" s="1"/>
  <c r="N27" i="13"/>
  <c r="F36" i="13"/>
  <c r="F42" i="13" s="1"/>
  <c r="L34" i="13"/>
  <c r="M36" i="13"/>
  <c r="M42" i="13" s="1"/>
  <c r="N24" i="13"/>
  <c r="D34" i="13"/>
  <c r="C28" i="13"/>
  <c r="C34" i="13" s="1"/>
  <c r="N20" i="13"/>
  <c r="H15" i="13"/>
  <c r="H36" i="13" s="1"/>
  <c r="H42" i="13" s="1"/>
  <c r="L15" i="13"/>
  <c r="K15" i="13"/>
  <c r="N8" i="13"/>
  <c r="D15" i="13"/>
  <c r="C15" i="13"/>
  <c r="N3" i="13"/>
  <c r="N4" i="13" s="1"/>
  <c r="Q2" i="11"/>
  <c r="C99" i="11"/>
  <c r="J15" i="11"/>
  <c r="J17" i="11" s="1"/>
  <c r="B15" i="13"/>
  <c r="E42" i="13"/>
  <c r="J36" i="13"/>
  <c r="J42" i="13" s="1"/>
  <c r="N21" i="13"/>
  <c r="G9" i="13"/>
  <c r="G15" i="13" s="1"/>
  <c r="N18" i="13"/>
  <c r="K28" i="13"/>
  <c r="K34" i="13" s="1"/>
  <c r="K36" i="13" s="1"/>
  <c r="K42" i="13" s="1"/>
  <c r="C41" i="13"/>
  <c r="B9" i="13"/>
  <c r="N19" i="13"/>
  <c r="B34" i="13"/>
  <c r="N12" i="13"/>
  <c r="N13" i="13" s="1"/>
  <c r="G28" i="13"/>
  <c r="G32" i="13"/>
  <c r="N32" i="13" s="1"/>
  <c r="D37" i="5"/>
  <c r="H54" i="11"/>
  <c r="H70" i="11"/>
  <c r="M15" i="11"/>
  <c r="C79" i="11" s="1"/>
  <c r="I34" i="11"/>
  <c r="N41" i="13" l="1"/>
  <c r="L36" i="13"/>
  <c r="L42" i="13" s="1"/>
  <c r="D36" i="13"/>
  <c r="D42" i="13" s="1"/>
  <c r="N28" i="13"/>
  <c r="N34" i="13" s="1"/>
  <c r="C36" i="13"/>
  <c r="C42" i="13" s="1"/>
  <c r="G34" i="13"/>
  <c r="G36" i="13" s="1"/>
  <c r="G42" i="13" s="1"/>
  <c r="N9" i="13"/>
  <c r="N15" i="13" s="1"/>
  <c r="B36" i="13"/>
  <c r="B42" i="13" s="1"/>
  <c r="J18" i="11"/>
  <c r="I70" i="11"/>
  <c r="C85" i="11"/>
  <c r="I54" i="11"/>
  <c r="C75" i="11"/>
  <c r="N36" i="13" l="1"/>
  <c r="N42" i="13" s="1"/>
  <c r="C80" i="11"/>
  <c r="C82" i="11"/>
  <c r="C81" i="11"/>
  <c r="C88" i="11"/>
  <c r="C86" i="11"/>
  <c r="H29" i="9"/>
  <c r="G29" i="9"/>
  <c r="C31" i="9" s="1"/>
  <c r="F29" i="9"/>
  <c r="C32" i="9" s="1"/>
  <c r="E29" i="9"/>
  <c r="D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7" i="9"/>
  <c r="I6" i="9"/>
  <c r="I29" i="9" l="1"/>
  <c r="O42" i="5"/>
  <c r="O32" i="5"/>
  <c r="P37" i="5" s="1"/>
  <c r="F49" i="3"/>
  <c r="G17" i="6"/>
  <c r="F17" i="6"/>
  <c r="F14" i="7"/>
  <c r="G14" i="7"/>
  <c r="O18" i="5"/>
  <c r="F21" i="8"/>
  <c r="G21" i="8"/>
  <c r="O11" i="5"/>
  <c r="O19" i="5"/>
  <c r="O9" i="5"/>
  <c r="O10" i="5" s="1"/>
  <c r="K21" i="8"/>
  <c r="H21" i="8"/>
  <c r="H18" i="8"/>
  <c r="H19" i="8" s="1"/>
  <c r="H20" i="8" s="1"/>
  <c r="H2" i="8"/>
  <c r="H4" i="8" s="1"/>
  <c r="H5" i="8" s="1"/>
  <c r="H6" i="8" s="1"/>
  <c r="H7" i="8" s="1"/>
  <c r="H8" i="8" s="1"/>
  <c r="H9" i="8" s="1"/>
  <c r="H10" i="8" s="1"/>
  <c r="H11" i="8" s="1"/>
  <c r="H12" i="8" s="1"/>
  <c r="H13" i="8" s="1"/>
  <c r="H14" i="8" s="1"/>
  <c r="H15" i="8" s="1"/>
  <c r="H16" i="8" s="1"/>
  <c r="H17" i="8" s="1"/>
  <c r="O12" i="5"/>
  <c r="L42" i="5"/>
  <c r="L32" i="5"/>
  <c r="M37" i="5" s="1"/>
  <c r="L9" i="5"/>
  <c r="L10" i="5" s="1"/>
  <c r="K14" i="7"/>
  <c r="L20" i="5"/>
  <c r="L21" i="5"/>
  <c r="L19" i="5"/>
  <c r="L18" i="5"/>
  <c r="L17" i="5"/>
  <c r="L16" i="5"/>
  <c r="L12" i="5"/>
  <c r="L11" i="5"/>
  <c r="H13" i="7"/>
  <c r="H14" i="7" s="1"/>
  <c r="H1" i="7" s="1"/>
  <c r="H5" i="7"/>
  <c r="H6" i="7" s="1"/>
  <c r="H7" i="7" s="1"/>
  <c r="H8" i="7" s="1"/>
  <c r="H9" i="7" s="1"/>
  <c r="H10" i="7" s="1"/>
  <c r="H11" i="7" s="1"/>
  <c r="H12" i="7" s="1"/>
  <c r="I17" i="5"/>
  <c r="I9" i="5"/>
  <c r="I43" i="5"/>
  <c r="I42" i="5"/>
  <c r="I32" i="5"/>
  <c r="J37" i="5" s="1"/>
  <c r="I21" i="5"/>
  <c r="I20" i="5"/>
  <c r="I19" i="5"/>
  <c r="I18" i="5"/>
  <c r="I16" i="5"/>
  <c r="I12" i="5"/>
  <c r="I11" i="5"/>
  <c r="I10" i="5"/>
  <c r="H17" i="6"/>
  <c r="H1" i="6" s="1"/>
  <c r="F43" i="5"/>
  <c r="F42" i="5"/>
  <c r="F32" i="5"/>
  <c r="G37" i="5" s="1"/>
  <c r="F21" i="5"/>
  <c r="F20" i="5"/>
  <c r="F19" i="5"/>
  <c r="F18" i="5"/>
  <c r="F17" i="5"/>
  <c r="F16" i="5"/>
  <c r="F12" i="5"/>
  <c r="F11" i="5"/>
  <c r="F10" i="5"/>
  <c r="F9" i="5"/>
  <c r="D7" i="4"/>
  <c r="D9" i="4" s="1"/>
  <c r="W7" i="1"/>
  <c r="K39" i="4"/>
  <c r="M40" i="4"/>
  <c r="M41" i="4" s="1"/>
  <c r="K40" i="4"/>
  <c r="J40" i="4"/>
  <c r="J41" i="4" s="1"/>
  <c r="I40" i="4"/>
  <c r="I41" i="4" s="1"/>
  <c r="F40" i="4"/>
  <c r="F41" i="4" s="1"/>
  <c r="E40" i="4"/>
  <c r="E41" i="4" s="1"/>
  <c r="G40" i="4"/>
  <c r="G39" i="4"/>
  <c r="D40" i="4"/>
  <c r="D39" i="4"/>
  <c r="C40" i="4"/>
  <c r="C39" i="4"/>
  <c r="H41" i="4"/>
  <c r="L41" i="4"/>
  <c r="B40" i="4"/>
  <c r="B39" i="4"/>
  <c r="J31" i="4"/>
  <c r="J32" i="4" s="1"/>
  <c r="G27" i="4"/>
  <c r="G31" i="4" s="1"/>
  <c r="I27" i="4"/>
  <c r="I28" i="4" s="1"/>
  <c r="M26" i="4"/>
  <c r="N26" i="4" s="1"/>
  <c r="M25" i="4"/>
  <c r="J25" i="4"/>
  <c r="J28" i="4" s="1"/>
  <c r="G25" i="4"/>
  <c r="F25" i="4"/>
  <c r="F28" i="4" s="1"/>
  <c r="K24" i="4"/>
  <c r="K28" i="4" s="1"/>
  <c r="G24" i="4"/>
  <c r="G20" i="4"/>
  <c r="N20" i="4" s="1"/>
  <c r="G19" i="4"/>
  <c r="N19" i="4" s="1"/>
  <c r="C18" i="4"/>
  <c r="N18" i="4" s="1"/>
  <c r="F13" i="4"/>
  <c r="H13" i="4"/>
  <c r="I13" i="4"/>
  <c r="J13" i="4"/>
  <c r="K13" i="4"/>
  <c r="L13" i="4"/>
  <c r="M13" i="4"/>
  <c r="K8" i="4"/>
  <c r="K9" i="4" s="1"/>
  <c r="G8" i="4"/>
  <c r="G9" i="4" s="1"/>
  <c r="C7" i="4"/>
  <c r="C9" i="4" s="1"/>
  <c r="B7" i="4"/>
  <c r="B9" i="4" s="1"/>
  <c r="E4" i="4"/>
  <c r="F4" i="4"/>
  <c r="G4" i="4"/>
  <c r="H4" i="4"/>
  <c r="I4" i="4"/>
  <c r="J4" i="4"/>
  <c r="K4" i="4"/>
  <c r="L4" i="4"/>
  <c r="M4" i="4"/>
  <c r="D3" i="4"/>
  <c r="D4" i="4" s="1"/>
  <c r="C3" i="4"/>
  <c r="C4" i="4" s="1"/>
  <c r="B3" i="4"/>
  <c r="B4" i="4" s="1"/>
  <c r="M32" i="4"/>
  <c r="L32" i="4"/>
  <c r="K32" i="4"/>
  <c r="I32" i="4"/>
  <c r="H32" i="4"/>
  <c r="F32" i="4"/>
  <c r="C32" i="4"/>
  <c r="B32" i="4"/>
  <c r="E32" i="4"/>
  <c r="D32" i="4"/>
  <c r="L28" i="4"/>
  <c r="H28" i="4"/>
  <c r="E28" i="4"/>
  <c r="D28" i="4"/>
  <c r="C28" i="4"/>
  <c r="B28" i="4"/>
  <c r="M21" i="4"/>
  <c r="L21" i="4"/>
  <c r="K21" i="4"/>
  <c r="J21" i="4"/>
  <c r="I21" i="4"/>
  <c r="H21" i="4"/>
  <c r="F21" i="4"/>
  <c r="E21" i="4"/>
  <c r="D21" i="4"/>
  <c r="B21" i="4"/>
  <c r="M9" i="4"/>
  <c r="L9" i="4"/>
  <c r="J9" i="4"/>
  <c r="I9" i="4"/>
  <c r="H9" i="4"/>
  <c r="F9" i="4"/>
  <c r="E9" i="4"/>
  <c r="J13" i="5" l="1"/>
  <c r="O33" i="5"/>
  <c r="P13" i="5"/>
  <c r="P22" i="5"/>
  <c r="P24" i="5" s="1"/>
  <c r="O44" i="5" s="1"/>
  <c r="P45" i="5" s="1"/>
  <c r="P47" i="5" s="1"/>
  <c r="H1" i="8"/>
  <c r="M13" i="5"/>
  <c r="M24" i="5" s="1"/>
  <c r="L44" i="5" s="1"/>
  <c r="M45" i="5" s="1"/>
  <c r="M47" i="5" s="1"/>
  <c r="M22" i="5"/>
  <c r="L33" i="5"/>
  <c r="J22" i="5"/>
  <c r="J24" i="5" s="1"/>
  <c r="I44" i="5" s="1"/>
  <c r="J45" i="5" s="1"/>
  <c r="J47" i="5" s="1"/>
  <c r="I33" i="5"/>
  <c r="F33" i="5"/>
  <c r="G24" i="5"/>
  <c r="F44" i="5" s="1"/>
  <c r="G45" i="5" s="1"/>
  <c r="G41" i="4"/>
  <c r="B41" i="4"/>
  <c r="K41" i="4"/>
  <c r="J34" i="4"/>
  <c r="H34" i="4"/>
  <c r="K34" i="4"/>
  <c r="E34" i="4"/>
  <c r="D34" i="4"/>
  <c r="F34" i="4"/>
  <c r="I34" i="4"/>
  <c r="M15" i="4"/>
  <c r="B34" i="4"/>
  <c r="L34" i="4"/>
  <c r="D41" i="4"/>
  <c r="C41" i="4"/>
  <c r="F15" i="4"/>
  <c r="K15" i="4"/>
  <c r="I15" i="4"/>
  <c r="J15" i="4"/>
  <c r="H15" i="4"/>
  <c r="N8" i="4"/>
  <c r="L15" i="4"/>
  <c r="N31" i="4"/>
  <c r="G32" i="4"/>
  <c r="N32" i="4" s="1"/>
  <c r="N27" i="4"/>
  <c r="M28" i="4"/>
  <c r="M34" i="4" s="1"/>
  <c r="N24" i="4"/>
  <c r="G28" i="4"/>
  <c r="C21" i="4"/>
  <c r="C34" i="4" s="1"/>
  <c r="N40" i="4"/>
  <c r="G21" i="4"/>
  <c r="N3" i="4"/>
  <c r="N4" i="4" s="1"/>
  <c r="N9" i="4"/>
  <c r="N25" i="4"/>
  <c r="N7" i="4"/>
  <c r="N39" i="4"/>
  <c r="G47" i="5" l="1"/>
  <c r="K36" i="4"/>
  <c r="K42" i="4" s="1"/>
  <c r="I36" i="4"/>
  <c r="I42" i="4" s="1"/>
  <c r="H36" i="4"/>
  <c r="H42" i="4" s="1"/>
  <c r="J36" i="4"/>
  <c r="J42" i="4" s="1"/>
  <c r="F36" i="4"/>
  <c r="F42" i="4" s="1"/>
  <c r="L36" i="4"/>
  <c r="L42" i="4" s="1"/>
  <c r="G34" i="4"/>
  <c r="M36" i="4"/>
  <c r="M42" i="4" s="1"/>
  <c r="N21" i="4"/>
  <c r="N41" i="4"/>
  <c r="N28" i="4"/>
  <c r="N34" i="4" l="1"/>
  <c r="H1" i="3"/>
  <c r="H49" i="3"/>
  <c r="H2" i="3"/>
  <c r="M11" i="2"/>
  <c r="M13" i="2"/>
  <c r="M12" i="2"/>
  <c r="Q33" i="1"/>
  <c r="Q32" i="1"/>
  <c r="Q31" i="1"/>
  <c r="O14" i="2"/>
  <c r="N14" i="2"/>
  <c r="L14" i="2"/>
  <c r="M14" i="2" s="1"/>
  <c r="I14" i="2"/>
  <c r="P14" i="2" s="1"/>
  <c r="O13" i="2"/>
  <c r="N13" i="2"/>
  <c r="L13" i="2"/>
  <c r="I13" i="2"/>
  <c r="P13" i="2" s="1"/>
  <c r="P12" i="2"/>
  <c r="O12" i="2"/>
  <c r="N12" i="2"/>
  <c r="L12" i="2"/>
  <c r="I12" i="2"/>
  <c r="P11" i="2"/>
  <c r="O11" i="2"/>
  <c r="N11" i="2"/>
  <c r="L11" i="2"/>
  <c r="I11" i="2"/>
  <c r="P10" i="2"/>
  <c r="O10" i="2"/>
  <c r="N10" i="2"/>
  <c r="L10" i="2"/>
  <c r="M10" i="2" s="1"/>
  <c r="I10" i="2"/>
  <c r="O9" i="2"/>
  <c r="N9" i="2"/>
  <c r="L9" i="2"/>
  <c r="M9" i="2" s="1"/>
  <c r="I9" i="2"/>
  <c r="P9" i="2" s="1"/>
  <c r="O8" i="2"/>
  <c r="N8" i="2"/>
  <c r="L8" i="2"/>
  <c r="M8" i="2" s="1"/>
  <c r="I8" i="2"/>
  <c r="P8" i="2" s="1"/>
  <c r="N7" i="2"/>
  <c r="L7" i="2"/>
  <c r="M7" i="2" s="1"/>
  <c r="F7" i="2"/>
  <c r="O7" i="2" s="1"/>
  <c r="O6" i="2"/>
  <c r="N6" i="2"/>
  <c r="L6" i="2"/>
  <c r="M6" i="2" s="1"/>
  <c r="I6" i="2"/>
  <c r="P6" i="2" s="1"/>
  <c r="O5" i="2"/>
  <c r="N5" i="2"/>
  <c r="M5" i="2"/>
  <c r="L5" i="2"/>
  <c r="I5" i="2"/>
  <c r="P5" i="2" s="1"/>
  <c r="O4" i="2"/>
  <c r="N4" i="2"/>
  <c r="M4" i="2"/>
  <c r="L4" i="2"/>
  <c r="I4" i="2"/>
  <c r="P4" i="2" s="1"/>
  <c r="O3" i="2"/>
  <c r="N3" i="2"/>
  <c r="M3" i="2"/>
  <c r="L3" i="2"/>
  <c r="I3" i="2"/>
  <c r="P3" i="2" s="1"/>
  <c r="O2" i="2"/>
  <c r="N2" i="2"/>
  <c r="M2" i="2"/>
  <c r="L2" i="2"/>
  <c r="L15" i="2" s="1"/>
  <c r="I2" i="2"/>
  <c r="P2" i="2" l="1"/>
  <c r="I7" i="2"/>
  <c r="P7" i="2" s="1"/>
  <c r="I15" i="2" l="1"/>
  <c r="U29" i="1" l="1"/>
  <c r="T23" i="1"/>
  <c r="L23" i="1"/>
  <c r="X23" i="1" s="1"/>
  <c r="I23" i="1"/>
  <c r="L28" i="1"/>
  <c r="L27" i="1"/>
  <c r="L26" i="1"/>
  <c r="L25" i="1"/>
  <c r="L24" i="1"/>
  <c r="L22" i="1"/>
  <c r="L21" i="1"/>
  <c r="W21" i="1" s="1"/>
  <c r="L20" i="1"/>
  <c r="L19" i="1"/>
  <c r="L18" i="1"/>
  <c r="L17" i="1"/>
  <c r="L16" i="1"/>
  <c r="L15" i="1"/>
  <c r="L14" i="1"/>
  <c r="L13" i="1"/>
  <c r="W13" i="1" s="1"/>
  <c r="L12" i="1"/>
  <c r="L11" i="1"/>
  <c r="L10" i="1"/>
  <c r="L9" i="1"/>
  <c r="W9" i="1" s="1"/>
  <c r="L7" i="1"/>
  <c r="L6" i="1"/>
  <c r="L4" i="1"/>
  <c r="L5" i="1"/>
  <c r="T28" i="1"/>
  <c r="T27" i="1"/>
  <c r="T26" i="1"/>
  <c r="T25" i="1"/>
  <c r="T24" i="1"/>
  <c r="T22" i="1"/>
  <c r="T20" i="1"/>
  <c r="T18" i="1"/>
  <c r="T17" i="1"/>
  <c r="T16" i="1"/>
  <c r="T15" i="1"/>
  <c r="W14" i="1"/>
  <c r="T12" i="1"/>
  <c r="T10" i="1"/>
  <c r="T7" i="1"/>
  <c r="T6" i="1"/>
  <c r="T5" i="1"/>
  <c r="I28" i="1"/>
  <c r="I27" i="1"/>
  <c r="I26" i="1"/>
  <c r="I25" i="1"/>
  <c r="I24" i="1"/>
  <c r="I22" i="1"/>
  <c r="I21" i="1"/>
  <c r="I20" i="1"/>
  <c r="I19" i="1"/>
  <c r="I18" i="1"/>
  <c r="I17" i="1"/>
  <c r="I16" i="1"/>
  <c r="I15" i="1"/>
  <c r="I14" i="1"/>
  <c r="X14" i="1" s="1"/>
  <c r="I13" i="1"/>
  <c r="I12" i="1"/>
  <c r="I11" i="1"/>
  <c r="X11" i="1" s="1"/>
  <c r="I10" i="1"/>
  <c r="I9" i="1"/>
  <c r="I7" i="1"/>
  <c r="I6" i="1"/>
  <c r="I5" i="1"/>
  <c r="I4" i="1"/>
  <c r="X4" i="1" s="1"/>
  <c r="R29" i="1"/>
  <c r="S29" i="1"/>
  <c r="Q29" i="1"/>
  <c r="O31" i="1" s="1"/>
  <c r="R31" i="1" s="1"/>
  <c r="P29" i="1"/>
  <c r="O29" i="1"/>
  <c r="N29" i="1"/>
  <c r="M29" i="1"/>
  <c r="H29" i="1"/>
  <c r="G29" i="1"/>
  <c r="F29" i="1"/>
  <c r="E29" i="1"/>
  <c r="D29" i="1"/>
  <c r="C29" i="1"/>
  <c r="B29" i="1"/>
  <c r="X20" i="1" l="1"/>
  <c r="C12" i="4" s="1"/>
  <c r="C13" i="4" s="1"/>
  <c r="C15" i="4" s="1"/>
  <c r="C36" i="4" s="1"/>
  <c r="C42" i="4" s="1"/>
  <c r="X6" i="1"/>
  <c r="O33" i="1"/>
  <c r="R33" i="1" s="1"/>
  <c r="I19" i="2"/>
  <c r="W26" i="1"/>
  <c r="O30" i="1"/>
  <c r="W23" i="1"/>
  <c r="X24" i="1"/>
  <c r="X12" i="1"/>
  <c r="X10" i="1"/>
  <c r="W22" i="1"/>
  <c r="W4" i="1"/>
  <c r="X13" i="1"/>
  <c r="X21" i="1"/>
  <c r="W27" i="1"/>
  <c r="X19" i="1"/>
  <c r="X18" i="1"/>
  <c r="X22" i="1"/>
  <c r="X15" i="1"/>
  <c r="X9" i="1"/>
  <c r="X16" i="1"/>
  <c r="X28" i="1"/>
  <c r="X27" i="1"/>
  <c r="X26" i="1"/>
  <c r="B12" i="4" s="1"/>
  <c r="X25" i="1"/>
  <c r="W6" i="1"/>
  <c r="W15" i="1"/>
  <c r="W24" i="1"/>
  <c r="W11" i="1"/>
  <c r="W19" i="1"/>
  <c r="W28" i="1"/>
  <c r="W12" i="1"/>
  <c r="X5" i="1"/>
  <c r="W5" i="1"/>
  <c r="W16" i="1"/>
  <c r="W25" i="1"/>
  <c r="X7" i="1"/>
  <c r="X17" i="1"/>
  <c r="W17" i="1"/>
  <c r="W20" i="1"/>
  <c r="W10" i="1"/>
  <c r="W18" i="1"/>
  <c r="T29" i="1"/>
  <c r="I29" i="1"/>
  <c r="D12" i="4" l="1"/>
  <c r="D13" i="4" s="1"/>
  <c r="D15" i="4" s="1"/>
  <c r="D36" i="4" s="1"/>
  <c r="D42" i="4" s="1"/>
  <c r="B13" i="4"/>
  <c r="B15" i="4" s="1"/>
  <c r="B36" i="4" s="1"/>
  <c r="B42" i="4" s="1"/>
  <c r="G12" i="4"/>
  <c r="G13" i="4" s="1"/>
  <c r="G15" i="4" s="1"/>
  <c r="G36" i="4" s="1"/>
  <c r="G42" i="4" s="1"/>
  <c r="O32" i="1"/>
  <c r="R32" i="1" s="1"/>
  <c r="I20" i="2"/>
  <c r="E12" i="4"/>
  <c r="E13" i="4" s="1"/>
  <c r="E15" i="4" s="1"/>
  <c r="E36" i="4" s="1"/>
  <c r="E42" i="4" s="1"/>
  <c r="W29" i="1"/>
  <c r="X29" i="1"/>
  <c r="I16" i="2" l="1"/>
  <c r="R34" i="1"/>
  <c r="N12" i="4"/>
  <c r="N13" i="4" s="1"/>
  <c r="N15" i="4" s="1"/>
  <c r="N36" i="4" s="1"/>
  <c r="N42" i="4" s="1"/>
  <c r="I18" i="2" l="1"/>
  <c r="I17" i="2"/>
</calcChain>
</file>

<file path=xl/sharedStrings.xml><?xml version="1.0" encoding="utf-8"?>
<sst xmlns="http://schemas.openxmlformats.org/spreadsheetml/2006/main" count="1261" uniqueCount="467">
  <si>
    <t>Member Clubs</t>
  </si>
  <si>
    <t>Junior Meet</t>
  </si>
  <si>
    <t>Gemini Trophy</t>
  </si>
  <si>
    <t>Minor Lg</t>
  </si>
  <si>
    <t>Rother Lg</t>
  </si>
  <si>
    <t>Junior Cup</t>
  </si>
  <si>
    <t>Membership</t>
  </si>
  <si>
    <t>Total</t>
  </si>
  <si>
    <t>Price</t>
  </si>
  <si>
    <t>Alton</t>
  </si>
  <si>
    <t>Andover</t>
  </si>
  <si>
    <t>Bassett JSF</t>
  </si>
  <si>
    <t>Chichester</t>
  </si>
  <si>
    <t xml:space="preserve">Croydon Amphibians </t>
  </si>
  <si>
    <t>Eastleigh</t>
  </si>
  <si>
    <t>Fareham</t>
  </si>
  <si>
    <t>Godalming</t>
  </si>
  <si>
    <t>Gosport</t>
  </si>
  <si>
    <t>Hart</t>
  </si>
  <si>
    <t>Haslemere</t>
  </si>
  <si>
    <t>Havant &amp; WLV</t>
  </si>
  <si>
    <t>Leatherhead</t>
  </si>
  <si>
    <t>Locks Heath</t>
  </si>
  <si>
    <t>Ringwood</t>
  </si>
  <si>
    <t>Romsey &amp; Totton</t>
  </si>
  <si>
    <t>Rushmoor</t>
  </si>
  <si>
    <t>Seaclose(IOW)</t>
  </si>
  <si>
    <t>Staines</t>
  </si>
  <si>
    <t>Sutton &amp; Cheam</t>
  </si>
  <si>
    <t>Wey Valley</t>
  </si>
  <si>
    <t>Winchester</t>
  </si>
  <si>
    <t>Woking</t>
  </si>
  <si>
    <t>Rother JT</t>
  </si>
  <si>
    <t>Rother relays</t>
  </si>
  <si>
    <t>Rother J/S/V</t>
  </si>
  <si>
    <t>Received Amount</t>
  </si>
  <si>
    <t>Received Date</t>
  </si>
  <si>
    <t>Chq</t>
  </si>
  <si>
    <t>Refund required</t>
  </si>
  <si>
    <t>Credit for 2022 events</t>
  </si>
  <si>
    <t>Received 2022</t>
  </si>
  <si>
    <t>Balance Outstanding</t>
  </si>
  <si>
    <t>Web site booking received</t>
  </si>
  <si>
    <t>Email received</t>
  </si>
  <si>
    <t>Form and payment received</t>
  </si>
  <si>
    <t>Southampton</t>
  </si>
  <si>
    <t>Entries</t>
  </si>
  <si>
    <t>Month Received</t>
  </si>
  <si>
    <t>Jan</t>
  </si>
  <si>
    <t>Feb</t>
  </si>
  <si>
    <t>-</t>
  </si>
  <si>
    <t>Mar</t>
  </si>
  <si>
    <t>Month Paid</t>
  </si>
  <si>
    <t>Prem L/ Rother JT</t>
  </si>
  <si>
    <t>Jun</t>
  </si>
  <si>
    <t>Apr</t>
  </si>
  <si>
    <t>Gala</t>
  </si>
  <si>
    <t>Division</t>
  </si>
  <si>
    <t>Pool</t>
  </si>
  <si>
    <t>Promoter</t>
  </si>
  <si>
    <t>Lanes used</t>
  </si>
  <si>
    <t>Refund</t>
  </si>
  <si>
    <t>Status</t>
  </si>
  <si>
    <t>Expenses</t>
  </si>
  <si>
    <t>Spectators</t>
  </si>
  <si>
    <t>Spectators /club</t>
  </si>
  <si>
    <t>Income/team</t>
  </si>
  <si>
    <t>HSCL Cost/team</t>
  </si>
  <si>
    <t>Note</t>
  </si>
  <si>
    <t>Rother Junior Trophies</t>
  </si>
  <si>
    <t>Div 1</t>
  </si>
  <si>
    <t>Waterlooville</t>
  </si>
  <si>
    <t>H&amp;Wlv</t>
  </si>
  <si>
    <t>Paid</t>
  </si>
  <si>
    <t>Low spectator count</t>
  </si>
  <si>
    <t>east div</t>
  </si>
  <si>
    <t>Guildford</t>
  </si>
  <si>
    <t>Poor utilisation of lanes in 2022</t>
  </si>
  <si>
    <t>west div</t>
  </si>
  <si>
    <t>Complete</t>
  </si>
  <si>
    <t>Rother Relays</t>
  </si>
  <si>
    <t>No action</t>
  </si>
  <si>
    <t>HSCL</t>
  </si>
  <si>
    <t>Internal</t>
  </si>
  <si>
    <t>Spectators low as they had been advised no space. We found space for 60</t>
  </si>
  <si>
    <t>Rother Age Groups</t>
  </si>
  <si>
    <t>Gemini</t>
  </si>
  <si>
    <t>Div 2</t>
  </si>
  <si>
    <t>Gp 1</t>
  </si>
  <si>
    <t>Cancelled</t>
  </si>
  <si>
    <t>Gala cancelled</t>
  </si>
  <si>
    <t>Gp 2</t>
  </si>
  <si>
    <t>Fleet</t>
  </si>
  <si>
    <t>Income from entries</t>
  </si>
  <si>
    <t>shortfall per entry</t>
  </si>
  <si>
    <t>shortfall per spectator</t>
  </si>
  <si>
    <t>Clubs</t>
  </si>
  <si>
    <t>On HSCL bank statement</t>
  </si>
  <si>
    <t>No cost/income to League</t>
  </si>
  <si>
    <t>Figures provided</t>
  </si>
  <si>
    <t>Total entries</t>
  </si>
  <si>
    <t>Fee</t>
  </si>
  <si>
    <t>Rother League</t>
  </si>
  <si>
    <t>Entries less RL</t>
  </si>
  <si>
    <t>Hire (Debit)</t>
  </si>
  <si>
    <t>Door (Credit)</t>
  </si>
  <si>
    <t>Own pool</t>
  </si>
  <si>
    <t>Cost/team</t>
  </si>
  <si>
    <t>Transaction Date</t>
  </si>
  <si>
    <t>Transaction Type</t>
  </si>
  <si>
    <t>Sort Code</t>
  </si>
  <si>
    <t>Account Number</t>
  </si>
  <si>
    <t>Transaction Description</t>
  </si>
  <si>
    <t>Debit Amount</t>
  </si>
  <si>
    <t>Credit Amount</t>
  </si>
  <si>
    <t>Balance</t>
  </si>
  <si>
    <t>FPO</t>
  </si>
  <si>
    <t>'30-95-96</t>
  </si>
  <si>
    <t>WEY VALLEY SC 100000001043446340 HSCL ROTHER AG 089299     10 11DEC22 18:16</t>
  </si>
  <si>
    <t>ANDOVER SWIMMING A 300000001047956123 HSCL GEMINI 309021     10 07DEC22 17:23</t>
  </si>
  <si>
    <t>MR J P &amp; MRS C A L 200000001040474920 TRAVEL COSTS 301215     10 07DEC22 10:19</t>
  </si>
  <si>
    <t>FPI</t>
  </si>
  <si>
    <t>LATHAM GARETH EASTLEIGH SC FP22290O02157345 070116     10 17OCT22 08:32</t>
  </si>
  <si>
    <t>EVERYONE ACTIVE AD 200000001005075551 HSCL 203370     10 03OCT22 20:20</t>
  </si>
  <si>
    <t>SOUTHAMPTON SWIMMI 300000001007671143 HSCL AGE GROUPS 207925     10 26SEP22 19:52</t>
  </si>
  <si>
    <t>R AND R TROPHIES L 100000000992472563 HSCL 089299     10 08SEP22 21:37</t>
  </si>
  <si>
    <t>R AND R TROPHIES L 300000000984351839 HSCL 089299     10 11AUG22 10:32</t>
  </si>
  <si>
    <t>R AND R TROPHIES L 400000000959536289 HSCL 089299     10 22JUN22 21:15</t>
  </si>
  <si>
    <t>SOUTHAMPTON SWIMMI 300000000955765065 HSCL ROTHER RELAYS 207925     10 17JUN22 15:31</t>
  </si>
  <si>
    <t>LINTOTT C R G ROTHER RELAY ALTON 39152037229352000N 601721     10 17JUN22 15:20</t>
  </si>
  <si>
    <t>DD</t>
  </si>
  <si>
    <t>123-REG WFU10549652</t>
  </si>
  <si>
    <t>RINGWOOD SEALS SWI 200000000943936596 HSCL REFUND 402121     10 08JUN22 13:54</t>
  </si>
  <si>
    <t>SEACLOSE SWIMMING 600000000947348528 HSCL REFUND 206055     10 07JUN22 21:34</t>
  </si>
  <si>
    <t>GOSPORT DOLPHINS S 100000000944334282 HSCL REFUND 309159     10 07JUN22 21:30</t>
  </si>
  <si>
    <t>HAVANT &amp; WATERLOOV 500000000947112916 HSCL ROTHER JT 090129     10 06JUN22 21:45</t>
  </si>
  <si>
    <t>EVERYONE ACTIVE AD 500000000945288913 HSCL 203370     10 02JUN22 19:40</t>
  </si>
  <si>
    <t>WEY VALLEY SC 500000000941572043 HSCL ROTHER JT 089299     10 27MAY22 16:47</t>
  </si>
  <si>
    <t>HASLEMERE SWIMMING 100000000920873716 HSCL REFUND 402315     10 24APR22 21:07</t>
  </si>
  <si>
    <t>RUSHMOOR ROYALS SW 300000000922112216 HSCL REFUND 201699     10 12APR22 21:02</t>
  </si>
  <si>
    <t>HAVANT &amp; WATERLOOV HWSC 00151125632BBMQKKV 090129     10 14MAR22 19:29</t>
  </si>
  <si>
    <t>CHIC COR SWI CLU CCSC ROTHER RP4679962476327600 202065     10 14MAR22 15:24</t>
  </si>
  <si>
    <t>LHD SWIM CLUB LEATHERHEAD 088083052561113001 402707     10 11MAR22 16:52</t>
  </si>
  <si>
    <t>EASTLEIGH AND OAKL 200000000896560621 HSCL REFUND 309971     10 07MAR22 20:06</t>
  </si>
  <si>
    <t>LOCKS HEATH SWIM S 100000000896605063 HSCL REFUND 203089     10 06MAR22 17:44</t>
  </si>
  <si>
    <t>ROMSEY &amp; TOTTON SW 300000000891672861 HSCL REFUND 522118     10 11FEB22 19:16</t>
  </si>
  <si>
    <t>CHIC COR SWI CLU CCSC ROTHER RP4679968209732500 202065     10 09FEB22 14:23</t>
  </si>
  <si>
    <t>ASA SWIM ENGLAND L 200000000881528911 HCLS00123 306585     10 05FEB22 17:49</t>
  </si>
  <si>
    <t>SOTON SWIM CLUB CITYOF SOUTHAMPTON RP4679967447626600 207925     10 03FEB22 11:50</t>
  </si>
  <si>
    <t>GODALMING AMATEUR GODS HSC LEAGUE 500000000883089999 309349     10 01FEB22 08:59</t>
  </si>
  <si>
    <t>WOKING SWIMMING CL 200000000877889815 HSCL REFUND 309980     10 30JAN22 21:10</t>
  </si>
  <si>
    <t>MR C R G LINTOTT 100000000878522469 HSCL REFUND 601721     10 30JAN22 20:43</t>
  </si>
  <si>
    <t>SEACLOSE SWIM CL SEACLOSE ROTHER RP4679966797348400 206055     10 29JAN22 21:52</t>
  </si>
  <si>
    <t>SUTTON + CHEAM S SUTTON + CHEAM RP4679966591029600 208417     10 28JAN22 14:41</t>
  </si>
  <si>
    <t>STNS SWIM CL H&amp;SC LEAGUE 2022 078073706290821001 404304     10 28JAN22 09:26</t>
  </si>
  <si>
    <t>WEY VALLEY SWIMMIN 200000000876175317 ROTHER REFUND 089299     10 27JAN22 15:02</t>
  </si>
  <si>
    <t>WINCH CITY PENG WCPSC 696404845271621001 404639     10 26JAN22 17:25</t>
  </si>
  <si>
    <t>BASSETT JSF SWIMMI 300000000882632904 HSCL 309714     10 25JAN22 20:29</t>
  </si>
  <si>
    <t>ANDOVER SWIMMING &amp; ASWPC 600000000878773019 309021     10 25JAN22 11:45</t>
  </si>
  <si>
    <t>FIELD LJ EASTLEIGH SWIMMING 11094006192893000N 602040     10 22JAN22 09:40</t>
  </si>
  <si>
    <t>LCK H SW SQ F AC LOCKS HEATH RP4679965367876500 203089     10 18JAN22 22:25</t>
  </si>
  <si>
    <t>ROM &amp; TOT SWIM ROMSEY &amp; TOTTON 45182508535784000N 522118     10 18JAN22 18:25</t>
  </si>
  <si>
    <t>BASSETT JSF SWIMMI BASSETTJSF LEAGUE 220117142325069487 309714     10 17JAN22 14:23</t>
  </si>
  <si>
    <t>FIELD LJ EASTLEIGH SWIMMING 58124029156652000N 602040     10 08JAN22 12:40</t>
  </si>
  <si>
    <t>Classification</t>
  </si>
  <si>
    <t>Host club refund of excess costs</t>
  </si>
  <si>
    <t>Travel Expenses - AL ref at Junior Cup, Fleet</t>
  </si>
  <si>
    <t>Door receipts from Junior Cup, Fleet</t>
  </si>
  <si>
    <t>Gala Exp</t>
  </si>
  <si>
    <t>Gala Inc</t>
  </si>
  <si>
    <t>Pool hire - Junior Cup, Fleet</t>
  </si>
  <si>
    <t>Other Exp</t>
  </si>
  <si>
    <t>Trophies/Engraving</t>
  </si>
  <si>
    <t>Door receipts from Rother Relays, Alton</t>
  </si>
  <si>
    <t>Pool hire - Rother Relays, Alton</t>
  </si>
  <si>
    <t>Mem Exp</t>
  </si>
  <si>
    <t>Website hosting fee</t>
  </si>
  <si>
    <t>Website domain fee</t>
  </si>
  <si>
    <t>Swim England Membership</t>
  </si>
  <si>
    <t>Mem Inc</t>
  </si>
  <si>
    <t>Fee received</t>
  </si>
  <si>
    <t>Year-on-Year difference</t>
  </si>
  <si>
    <t>Membership Income</t>
  </si>
  <si>
    <t>Gala Income</t>
  </si>
  <si>
    <t>Gala Entries</t>
  </si>
  <si>
    <t>Door Receipts</t>
  </si>
  <si>
    <t>Total Income</t>
  </si>
  <si>
    <t>Membership Expenses</t>
  </si>
  <si>
    <t>Gala Expenses</t>
  </si>
  <si>
    <t>Pool Hire</t>
  </si>
  <si>
    <t>Other Expenses</t>
  </si>
  <si>
    <t>New Trophies</t>
  </si>
  <si>
    <t>Total Other Expenses</t>
  </si>
  <si>
    <t>Total Expenses</t>
  </si>
  <si>
    <t>Profit/Loss</t>
  </si>
  <si>
    <t>Refunds made</t>
  </si>
  <si>
    <t>FY 2022</t>
  </si>
  <si>
    <t>Membership/Gala Refunds</t>
  </si>
  <si>
    <t>Other Expenses (e.g. travel)</t>
  </si>
  <si>
    <t>Replacement/Keepsake Trophies</t>
  </si>
  <si>
    <t>Contra entry to credit received in Oct 2021</t>
  </si>
  <si>
    <t>Check against accounts</t>
  </si>
  <si>
    <t>Credits</t>
  </si>
  <si>
    <t>Debits</t>
  </si>
  <si>
    <t>Difference</t>
  </si>
  <si>
    <t>Important Note:</t>
  </si>
  <si>
    <t>Debit to Bank Account on 31/01/2022 made by C.Lintott was a contra entry to a credit made to the account on 10/09/2021 when setting it up to test it was working prior to migrating funds from the old bank account.</t>
  </si>
  <si>
    <t>Entries to Bank Account</t>
  </si>
  <si>
    <t>Hampshire &amp; South Coast Swimming League</t>
  </si>
  <si>
    <t>Profit &amp; Loss Account</t>
  </si>
  <si>
    <t>Income</t>
  </si>
  <si>
    <t>Expenditure</t>
  </si>
  <si>
    <t>Membership fees</t>
  </si>
  <si>
    <t>Team entries</t>
  </si>
  <si>
    <t>Gala door receipts</t>
  </si>
  <si>
    <t>Membership/team entries refunds</t>
  </si>
  <si>
    <t>£</t>
  </si>
  <si>
    <t>Website</t>
  </si>
  <si>
    <t>Website Domain</t>
  </si>
  <si>
    <t>Website Hosting</t>
  </si>
  <si>
    <t>Pool hire</t>
  </si>
  <si>
    <t>Gala loss claims</t>
  </si>
  <si>
    <t>Trophies</t>
  </si>
  <si>
    <t>31.12.2022</t>
  </si>
  <si>
    <t>Balance Sheet</t>
  </si>
  <si>
    <t>Current Assets</t>
  </si>
  <si>
    <t>Bank account</t>
  </si>
  <si>
    <t>Current Liabilities</t>
  </si>
  <si>
    <t>Creditors</t>
  </si>
  <si>
    <t>NET ASSETS</t>
  </si>
  <si>
    <t>FINANCED BY</t>
  </si>
  <si>
    <t>CAPITAL ACCOUNT</t>
  </si>
  <si>
    <t>Brought forward</t>
  </si>
  <si>
    <t>Bank account test amount repaid</t>
  </si>
  <si>
    <t>DEP</t>
  </si>
  <si>
    <t>CREDIT 500001</t>
  </si>
  <si>
    <t>LINTOTT C R G C LINTOTT 33195353247298000N 601721</t>
  </si>
  <si>
    <t>Test credit from C Lintott</t>
  </si>
  <si>
    <t>COR</t>
  </si>
  <si>
    <t>UNPAID CHEQUE</t>
  </si>
  <si>
    <t>HSBC account balance cheque</t>
  </si>
  <si>
    <t>CHEQUE DEPOSIT - FROM HSBC ACCOUNT</t>
  </si>
  <si>
    <t>OLD ACCOUNT - HSBC</t>
  </si>
  <si>
    <t>40-21-27</t>
  </si>
  <si>
    <t>BALANCE BROUGHT FORWARD</t>
  </si>
  <si>
    <t>CHQ</t>
  </si>
  <si>
    <t>Reconciliation - Andover o/s fee</t>
  </si>
  <si>
    <t>CR</t>
  </si>
  <si>
    <t>CHQ IN AT 407080</t>
  </si>
  <si>
    <t>Paid to new Lloyds Account 02/11/21</t>
  </si>
  <si>
    <t>Move to new Lloyds Account 13/09/21</t>
  </si>
  <si>
    <t>Website expenses claim 2017-2020</t>
  </si>
  <si>
    <t>SEACLOSE SWIM CL MEMBERSHIP</t>
  </si>
  <si>
    <t>31.12.2021</t>
  </si>
  <si>
    <t>Donation - D Miles</t>
  </si>
  <si>
    <t>WOKING SC - H&amp;SC</t>
  </si>
  <si>
    <t>GOSPORT DOLPHINS</t>
  </si>
  <si>
    <t>RUSHMOOR ROYALS</t>
  </si>
  <si>
    <t>CHQ IN AT 402226</t>
  </si>
  <si>
    <t>ROMSEY &amp; TOTTON</t>
  </si>
  <si>
    <t>SUTTON &amp; CHEAM</t>
  </si>
  <si>
    <t>EASTLEIGH SC</t>
  </si>
  <si>
    <t>BASSETTJSF 2020FEE</t>
  </si>
  <si>
    <t>31.12.2020</t>
  </si>
  <si>
    <t>Fee received (3 entries)</t>
  </si>
  <si>
    <t>Fee received (2 entries)</t>
  </si>
  <si>
    <t>Net (loss)/profit</t>
  </si>
  <si>
    <t>31.12.2019</t>
  </si>
  <si>
    <t>WINCHESTER CITY PENGUINS DOOR RECEIPT</t>
  </si>
  <si>
    <t>BP</t>
  </si>
  <si>
    <t>WVSC - HSCSL</t>
  </si>
  <si>
    <t>Pool hire - 13/7/19, Andover</t>
  </si>
  <si>
    <t>Pool hire - 27/4/19, Andover</t>
  </si>
  <si>
    <t>Host club (WVSC) refund of excess costs</t>
  </si>
  <si>
    <t>Invitational Meet @ Woking</t>
  </si>
  <si>
    <t>Host club (Hart) refund of excess costs</t>
  </si>
  <si>
    <t>Pool hire - 18/5/19, Bassett</t>
  </si>
  <si>
    <t>Fee received (1 entry)</t>
  </si>
  <si>
    <t>Fee received (9 entries)</t>
  </si>
  <si>
    <t>Door receipts - from Andover</t>
  </si>
  <si>
    <t>Door receipts</t>
  </si>
  <si>
    <t>NET PROFIT / (LOSS)</t>
  </si>
  <si>
    <t>Received 2023</t>
  </si>
  <si>
    <t>Dorking</t>
  </si>
  <si>
    <t>Wilden Waves</t>
  </si>
  <si>
    <t>League entries</t>
  </si>
  <si>
    <t>Basingstoke</t>
  </si>
  <si>
    <t>No spectators</t>
  </si>
  <si>
    <t>H&amp;W</t>
  </si>
  <si>
    <t>Future</t>
  </si>
  <si>
    <t>figures provided</t>
  </si>
  <si>
    <t>gala entries</t>
  </si>
  <si>
    <t>league entries</t>
  </si>
  <si>
    <t>General</t>
  </si>
  <si>
    <t>Expense</t>
  </si>
  <si>
    <t>SwimEngland membership</t>
  </si>
  <si>
    <t>Auditors Fees</t>
  </si>
  <si>
    <t>Web site hosting</t>
  </si>
  <si>
    <t>Web domain name</t>
  </si>
  <si>
    <t>Gala Trophies</t>
  </si>
  <si>
    <t>Replacement
Estimate</t>
  </si>
  <si>
    <t>Previous
Expense</t>
  </si>
  <si>
    <t>2023
Expense</t>
  </si>
  <si>
    <t>1/10 yr</t>
  </si>
  <si>
    <t>per gala
entry</t>
  </si>
  <si>
    <t>location</t>
  </si>
  <si>
    <t>IM Keepsake trophies</t>
  </si>
  <si>
    <t>Ordered</t>
  </si>
  <si>
    <t>Rother Junior Trophies West trophy upgrade</t>
  </si>
  <si>
    <t>Estimate</t>
  </si>
  <si>
    <t>Rother Junior Trophies East trophy replaced</t>
  </si>
  <si>
    <t>Rother Relay gala div 1</t>
  </si>
  <si>
    <t>Rother Relay gala east div</t>
  </si>
  <si>
    <t>Rother Relay gala west div</t>
  </si>
  <si>
    <t>Winchester Black</t>
  </si>
  <si>
    <t>Rother Age groups gala div 1</t>
  </si>
  <si>
    <t>Rother Age groups gala east div</t>
  </si>
  <si>
    <t>Rother Age groups gala west div</t>
  </si>
  <si>
    <t>Junior Cup group 1 (could be silver cup)</t>
  </si>
  <si>
    <t>2005</t>
  </si>
  <si>
    <t>Junior cup group 2</t>
  </si>
  <si>
    <t>Junior cup group 3</t>
  </si>
  <si>
    <t>To be passed to TS in Sept</t>
  </si>
  <si>
    <t>In use</t>
  </si>
  <si>
    <t>Gemini group 1 Silver Cup</t>
  </si>
  <si>
    <t>Missing</t>
  </si>
  <si>
    <t>Gemini group 2 Silver cup</t>
  </si>
  <si>
    <t>May need to order a replacement</t>
  </si>
  <si>
    <t>Gemini group 3 Silver cup</t>
  </si>
  <si>
    <t>League Trophies</t>
  </si>
  <si>
    <t>Rother League Div1 repalcement trophy</t>
  </si>
  <si>
    <t>Rother League Div1 junior team repalcement trophy</t>
  </si>
  <si>
    <t>Rother League Div1 senior team repalcement trophy</t>
  </si>
  <si>
    <t>Rother League East Div trophy upgrade</t>
  </si>
  <si>
    <t>Worthing</t>
  </si>
  <si>
    <t>Trouble getting back</t>
  </si>
  <si>
    <t>2012</t>
  </si>
  <si>
    <t>Rother League East Div Junior team repalcement</t>
  </si>
  <si>
    <t>Rother League East Div Senior team repalcement</t>
  </si>
  <si>
    <t>Rother League East Div Veterans team repalcement</t>
  </si>
  <si>
    <t>HW/God</t>
  </si>
  <si>
    <t>H&amp;W should have passed it to Godalming</t>
  </si>
  <si>
    <t>Rother League West Div Junior team repalcement t</t>
  </si>
  <si>
    <t>In Use</t>
  </si>
  <si>
    <t>Rother League West Div Veterans team repalcement</t>
  </si>
  <si>
    <t>Income /team</t>
  </si>
  <si>
    <t>cost/ team</t>
  </si>
  <si>
    <t>HSCL Cost /team</t>
  </si>
  <si>
    <t>Pending</t>
  </si>
  <si>
    <t>Not swum</t>
  </si>
  <si>
    <t>Only 2 teams turned up</t>
  </si>
  <si>
    <t>shortfall per gala entry</t>
  </si>
  <si>
    <t>merged</t>
  </si>
  <si>
    <t>Information being chased</t>
  </si>
  <si>
    <t>Other</t>
  </si>
  <si>
    <t>Mountbatten</t>
  </si>
  <si>
    <t>complete</t>
  </si>
  <si>
    <t>1/3/23 deposit paid and then HSCl withdrew</t>
  </si>
  <si>
    <t>exp/club</t>
  </si>
  <si>
    <t>??</t>
  </si>
  <si>
    <t>email hosting</t>
  </si>
  <si>
    <t>(chargable from october 2023)</t>
  </si>
  <si>
    <t>suggest membership is £20 per club for 2024</t>
  </si>
  <si>
    <t>Collect</t>
  </si>
  <si>
    <t>TS</t>
  </si>
  <si>
    <t>pass to Winchester</t>
  </si>
  <si>
    <t>Premier League Div1 replacement trophy</t>
  </si>
  <si>
    <t>pass to Basingstoke</t>
  </si>
  <si>
    <t>To be passed to TS</t>
  </si>
  <si>
    <t>Return to TS to update for Basingstoke</t>
  </si>
  <si>
    <t>Rother League Div1 veterans replacement trophy</t>
  </si>
  <si>
    <t>TS passed to Basingstoke for gala</t>
  </si>
  <si>
    <t>Rother League West Div replacement trophy</t>
  </si>
  <si>
    <t>Rother League West Div Senior team replacement</t>
  </si>
  <si>
    <t>Summary</t>
  </si>
  <si>
    <t xml:space="preserve">Galas </t>
  </si>
  <si>
    <t>gala pool costs</t>
  </si>
  <si>
    <t>gala trophy costs per yr</t>
  </si>
  <si>
    <t>note this is not 2023 actual costs</t>
  </si>
  <si>
    <t>gala door income</t>
  </si>
  <si>
    <t>gala entry income @ £25</t>
  </si>
  <si>
    <t>spectators</t>
  </si>
  <si>
    <t>loss</t>
  </si>
  <si>
    <t>loss per entry at £25</t>
  </si>
  <si>
    <t>suggest £30 per entry for 2024</t>
  </si>
  <si>
    <t>extra</t>
  </si>
  <si>
    <t>loss per spectator @ £3</t>
  </si>
  <si>
    <t>Suggest £4 per spectator for 2024</t>
  </si>
  <si>
    <t>League</t>
  </si>
  <si>
    <t>league entry income @ £5</t>
  </si>
  <si>
    <t>league trophy costs</t>
  </si>
  <si>
    <t>loss per league entry</t>
  </si>
  <si>
    <t>suggest £8 for 2024</t>
  </si>
  <si>
    <t xml:space="preserve">Other </t>
  </si>
  <si>
    <t>lost deposit Mountbattern</t>
  </si>
  <si>
    <t>write off against reserves</t>
  </si>
  <si>
    <t>income @ £7</t>
  </si>
  <si>
    <t>suggest membership £20 per club for 2024</t>
  </si>
  <si>
    <t>expenses</t>
  </si>
  <si>
    <t>profit/loss</t>
  </si>
  <si>
    <t>clubs</t>
  </si>
  <si>
    <t>p+L per club</t>
  </si>
  <si>
    <t>HAVANT &amp; WATERLOOV 100000001241632192 HSCL ROTHER JT 090129     10 25NOV23 11:32</t>
  </si>
  <si>
    <t>WEY VALLEY SWIMMIN 300000001235735464 ROTHER REFUND 089299     10 03NOV23 09:13</t>
  </si>
  <si>
    <t>FLEET (308042)</t>
  </si>
  <si>
    <t>EVERYONE ACTIVE AD 100000001210551844 136071098 32045231 203370     10 03OCT23 09:45</t>
  </si>
  <si>
    <t>EVERYONE ACTIVE AD 100000001206276791 136071098 32044735 203370     10 27SEP23 17:31</t>
  </si>
  <si>
    <t>R AND R TROPHIES L 500000001192726527 HSCL 089299     10 29AUG23 12:23</t>
  </si>
  <si>
    <t>R AND R TROPHIES L 500000001178099386 HSCL 089299     10 02AUG23 08:43</t>
  </si>
  <si>
    <t>DORKING SWIMMNG CL 200000001162338333 HSCL REFUND 401922     10 13JUL23 10:06</t>
  </si>
  <si>
    <t>HAVANT &amp; WATERLOOV 500000001166219741 HSCL ROTHER JT 090129     10 13JUL23 09:59</t>
  </si>
  <si>
    <t>BASINGSTOKE BLUEFI 400000001165454585 HSCL REFUND 405240     10 03JUL23 08:25</t>
  </si>
  <si>
    <t>BASSETT JSF SWIMMI BJSS ROTHER LEAGUE 230627005645143507 309714     10 27JUN23 00:56</t>
  </si>
  <si>
    <t>ROM &amp; TOT SWIM ROMSEY &amp; TOTTON 44122733340933000N 522118     10 06JUN23 12:27</t>
  </si>
  <si>
    <t>WINCH CITY PENG WCPSC 502158040261506001 404639     10 05JUN23 16:20</t>
  </si>
  <si>
    <t>EVERYONE ACTIVE AD 200000001139509512 136071098 32043420 203370     10 03JUN23 11:28</t>
  </si>
  <si>
    <t>MR C R G LINTOTT 200000001135040554 HSCL DOMAIN NAME 601721     10 27MAY23 15:16</t>
  </si>
  <si>
    <t>MR C R G LINTOTT 500000001139016877 HSCL WEB HOSTING 601721     10 27MAY23 15:15</t>
  </si>
  <si>
    <t>R AND R TROPHIES L 100000001135580008 HSCL 089299     10 27MAY23 15:12</t>
  </si>
  <si>
    <t>LINTOTT C R G ROTHER JT FLEET 06094851379578000N 601721     10 12APR23 09:48</t>
  </si>
  <si>
    <t>WEY VALLEY SC WEY VALLEY SC 000000000263689682 089299     10 14MAR23 13:04</t>
  </si>
  <si>
    <t>BH LIVE 400000001094434242 A38831 401307     10 01MAR23 08:18</t>
  </si>
  <si>
    <t>C&amp;M SCOTT T/A SMIT 100000001081763598 INV17632-60HAM1/ 207931     10 22FEB23 10:30</t>
  </si>
  <si>
    <t>EVERYONE ACTIVE AD 500000001081826374 136071098 13600023 203370     10 15FEB23 21:49</t>
  </si>
  <si>
    <t>SUTTON + CHEAM S SUTTON  CHEAM SC RP4679967657459300 208417     10 10FEB23 15:06</t>
  </si>
  <si>
    <t>EASTLEIGH AND OAKL EASTLEIGH SC 600000001077354818 309971     10 07FEB23 14:47</t>
  </si>
  <si>
    <t>WINCH CITY PENG WCPSC 207291228102502001 404639     40 06FEB23 07:12</t>
  </si>
  <si>
    <t>SEACLOSE SWIM CL SEACLOSE ROTHER RP4679966943643800 206055     10 05FEB23 11:26</t>
  </si>
  <si>
    <t>ASA SWIM ENGLAND L 100000001073062808 HCLS00126 306585     10 04FEB23 19:07</t>
  </si>
  <si>
    <t>GODALMING AMATEUR GODS HSC LEAGUE 300000001078761840 309349     10 03FEB23 08:51</t>
  </si>
  <si>
    <t>BASINGSTOKE BLUEFI 500000001073627083 HSCL REFUND 405240     10 31JAN23 21:21</t>
  </si>
  <si>
    <t>ANDOVER SWIMMING &amp; ASWPC 200000001068148330 309021     10 29JAN23 18:14</t>
  </si>
  <si>
    <t>ASKEW D J &amp; R L DORKING SC 27151155860153000N 601018     10 29JAN23 15:11</t>
  </si>
  <si>
    <t>GOSPORT DOLPHINS S GOSPORT DOLPHINS 300000001073468976 309159     10 26JAN23 10:30</t>
  </si>
  <si>
    <t>HAVANT &amp; WATERLOOV HWSC 00151125632BBNYPPL 090129     40 20JAN23 05:27</t>
  </si>
  <si>
    <t>LCK H SW SQ F AC LOCKS HEATH RP4679964476599900 203089     10 19JAN23 21:48</t>
  </si>
  <si>
    <t>RUSHMOOR SWIMMIN RUSHMOOR ROYALS SC RP4679964335579700 201699     10 18JAN23 19:17</t>
  </si>
  <si>
    <t>HAS SWIM CLUB HSC LEAGUE 326505607571811001 402315     10 18JAN23 17:57</t>
  </si>
  <si>
    <t>BASSETT JSF SWIMMI BASSETTJSF LEAGUE 230117223054872266 309714     10 17JAN23 22:30</t>
  </si>
  <si>
    <t>STNS SWIM CL STAINES SC 404581828260711001 404304     10 17JAN23 06:28</t>
  </si>
  <si>
    <t>BASINGSTOKE BLUEFI BLUEFINS 1063458033712138FU 405240     40 12JAN23 17:33</t>
  </si>
  <si>
    <t>for the Year Ended 31 December 2023</t>
  </si>
  <si>
    <t xml:space="preserve"> 31 December 2023</t>
  </si>
  <si>
    <t>31.12.2023</t>
  </si>
  <si>
    <t>FY 2023</t>
  </si>
  <si>
    <t>Owing/ Refund</t>
  </si>
  <si>
    <t>Rother Junior Trophy</t>
  </si>
  <si>
    <t>Pool hire - Rother Age Groups, Fleet</t>
  </si>
  <si>
    <t>Pool hire - Rother Relays, Fleet</t>
  </si>
  <si>
    <t>Pool hire - Junior Trophies, Fleet</t>
  </si>
  <si>
    <t>Smith Newmans - accounts</t>
  </si>
  <si>
    <t>Door receipts from Rother Junior Trophies, Fleet</t>
  </si>
  <si>
    <t>Door receipts from Rother Relays, Fleet</t>
  </si>
  <si>
    <t>Door receipts from Rother Age Groups, Fleet</t>
  </si>
  <si>
    <t>Pool hire - Rother Junior Trophies, Mountbatten</t>
  </si>
  <si>
    <t>Received</t>
  </si>
  <si>
    <t>January</t>
  </si>
  <si>
    <t>February</t>
  </si>
  <si>
    <t>June</t>
  </si>
  <si>
    <t>March</t>
  </si>
  <si>
    <t>Other expenses</t>
  </si>
  <si>
    <t>Prepared by:</t>
  </si>
  <si>
    <t>HAMPSHIRE &amp; SOUTH COAST SWIMMING LEAGUE</t>
  </si>
  <si>
    <t>ACCOUNTS FOR THE PERIOD</t>
  </si>
  <si>
    <t>1st January 2023 to 31st December 2023</t>
  </si>
  <si>
    <t>League Treasurer</t>
  </si>
  <si>
    <t>Jon Lee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</si>
</sst>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£&quot;#,##0.00;[Red]\-&quot;£&quot;#,##0.00"/>
    <numFmt numFmtId="164" formatCode="&quot;£&quot;#,##0.00"/>
    <numFmt numFmtId="165" formatCode="dd/mm/yy;@"/>
    <numFmt numFmtId="166" formatCode="&quot;£&quot;#,##0"/>
    <numFmt numFmtId="167" formatCode="&quot;£&quot;#,##0.00;[Red]\(&quot;£&quot;#,##0.00\)"/>
    <numFmt numFmtId="168" formatCode="[Red]\(&quot;£&quot;#,##0.00\)"/>
    <numFmt numFmtId="169" formatCode="&quot;£&quot;#,##0.00;[Red]&quot;£&quot;#,##0.00"/>
    <numFmt numFmtId="170" formatCode="#,##0.00;[Red]\(#,##0\)"/>
    <numFmt numFmtId="171" formatCode="#,##0;[Red]\(#,##0\)"/>
  </numFmts>
  <fonts count="30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b/>
      <sz val="28"/>
      <name val="Calibri"/>
      <family val="2"/>
      <scheme val="minor"/>
    </font>
    <font>
      <b/>
      <sz val="24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82">
    <xf numFmtId="0" fontId="0" fillId="0" borderId="0" xfId="0"/>
    <xf numFmtId="0" fontId="2" fillId="0" borderId="0" xfId="0" applyFont="1"/>
    <xf numFmtId="164" fontId="0" fillId="0" borderId="0" xfId="0" applyNumberFormat="1"/>
    <xf numFmtId="0" fontId="3" fillId="0" borderId="1" xfId="0" applyFont="1" applyBorder="1" applyAlignment="1">
      <alignment horizontal="center" textRotation="90" wrapText="1"/>
    </xf>
    <xf numFmtId="0" fontId="2" fillId="0" borderId="1" xfId="0" applyFont="1" applyBorder="1"/>
    <xf numFmtId="165" fontId="2" fillId="0" borderId="0" xfId="0" applyNumberFormat="1" applyFont="1"/>
    <xf numFmtId="165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0" borderId="0" xfId="0" applyFont="1"/>
    <xf numFmtId="0" fontId="3" fillId="5" borderId="1" xfId="0" applyFont="1" applyFill="1" applyBorder="1"/>
    <xf numFmtId="0" fontId="3" fillId="6" borderId="1" xfId="0" applyFont="1" applyFill="1" applyBorder="1"/>
    <xf numFmtId="0" fontId="0" fillId="0" borderId="0" xfId="0" applyAlignment="1">
      <alignment horizontal="center"/>
    </xf>
    <xf numFmtId="0" fontId="3" fillId="7" borderId="1" xfId="0" applyFont="1" applyFill="1" applyBorder="1"/>
    <xf numFmtId="164" fontId="5" fillId="0" borderId="0" xfId="0" applyNumberFormat="1" applyFon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64" fontId="0" fillId="4" borderId="0" xfId="0" applyNumberForma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8" fontId="0" fillId="4" borderId="0" xfId="0" applyNumberFormat="1" applyFill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0" borderId="2" xfId="0" applyFont="1" applyBorder="1"/>
    <xf numFmtId="0" fontId="5" fillId="0" borderId="3" xfId="0" applyFont="1" applyBorder="1"/>
    <xf numFmtId="0" fontId="5" fillId="0" borderId="7" xfId="0" applyFont="1" applyBorder="1"/>
    <xf numFmtId="0" fontId="5" fillId="0" borderId="4" xfId="0" applyFont="1" applyBorder="1"/>
    <xf numFmtId="166" fontId="5" fillId="0" borderId="0" xfId="0" applyNumberFormat="1" applyFont="1"/>
    <xf numFmtId="166" fontId="5" fillId="0" borderId="4" xfId="0" applyNumberFormat="1" applyFont="1" applyBorder="1"/>
    <xf numFmtId="0" fontId="5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1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67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0" fontId="7" fillId="0" borderId="0" xfId="0" applyFont="1"/>
    <xf numFmtId="17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 indent="1"/>
    </xf>
    <xf numFmtId="164" fontId="8" fillId="0" borderId="0" xfId="0" applyNumberFormat="1" applyFont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0" fontId="8" fillId="0" borderId="4" xfId="0" applyFont="1" applyBorder="1" applyAlignment="1">
      <alignment horizontal="left" indent="1"/>
    </xf>
    <xf numFmtId="164" fontId="8" fillId="0" borderId="4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67" fontId="8" fillId="0" borderId="0" xfId="0" applyNumberFormat="1" applyFont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167" fontId="8" fillId="0" borderId="4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0" fontId="7" fillId="0" borderId="3" xfId="0" applyFont="1" applyBorder="1"/>
    <xf numFmtId="164" fontId="7" fillId="0" borderId="3" xfId="0" applyNumberFormat="1" applyFont="1" applyBorder="1" applyAlignment="1">
      <alignment horizontal="center"/>
    </xf>
    <xf numFmtId="167" fontId="7" fillId="0" borderId="3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8" fontId="8" fillId="0" borderId="0" xfId="0" applyNumberFormat="1" applyFont="1" applyAlignment="1">
      <alignment horizontal="center"/>
    </xf>
    <xf numFmtId="168" fontId="7" fillId="0" borderId="11" xfId="0" applyNumberFormat="1" applyFont="1" applyBorder="1" applyAlignment="1">
      <alignment horizontal="center"/>
    </xf>
    <xf numFmtId="169" fontId="8" fillId="0" borderId="0" xfId="0" applyNumberFormat="1" applyFont="1"/>
    <xf numFmtId="0" fontId="7" fillId="0" borderId="3" xfId="0" applyFont="1" applyBorder="1" applyAlignment="1">
      <alignment horizontal="left"/>
    </xf>
    <xf numFmtId="167" fontId="7" fillId="0" borderId="1" xfId="0" applyNumberFormat="1" applyFont="1" applyBorder="1" applyAlignment="1">
      <alignment horizontal="center"/>
    </xf>
    <xf numFmtId="169" fontId="7" fillId="0" borderId="0" xfId="0" applyNumberFormat="1" applyFont="1"/>
    <xf numFmtId="0" fontId="7" fillId="8" borderId="8" xfId="0" applyFont="1" applyFill="1" applyBorder="1" applyAlignment="1">
      <alignment horizontal="left"/>
    </xf>
    <xf numFmtId="167" fontId="7" fillId="8" borderId="8" xfId="0" applyNumberFormat="1" applyFont="1" applyFill="1" applyBorder="1" applyAlignment="1">
      <alignment horizontal="center"/>
    </xf>
    <xf numFmtId="167" fontId="7" fillId="8" borderId="9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6" xfId="0" applyFont="1" applyBorder="1" applyAlignment="1">
      <alignment horizontal="left" indent="1"/>
    </xf>
    <xf numFmtId="167" fontId="8" fillId="0" borderId="6" xfId="0" applyNumberFormat="1" applyFont="1" applyBorder="1" applyAlignment="1">
      <alignment horizontal="center"/>
    </xf>
    <xf numFmtId="167" fontId="7" fillId="0" borderId="12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170" fontId="8" fillId="0" borderId="0" xfId="0" applyNumberFormat="1" applyFont="1" applyAlignment="1">
      <alignment horizontal="center"/>
    </xf>
    <xf numFmtId="170" fontId="8" fillId="0" borderId="4" xfId="0" applyNumberFormat="1" applyFont="1" applyBorder="1" applyAlignment="1">
      <alignment horizontal="center"/>
    </xf>
    <xf numFmtId="170" fontId="7" fillId="0" borderId="0" xfId="0" applyNumberFormat="1" applyFont="1" applyAlignment="1">
      <alignment horizontal="center"/>
    </xf>
    <xf numFmtId="170" fontId="7" fillId="0" borderId="8" xfId="0" applyNumberFormat="1" applyFont="1" applyBorder="1" applyAlignment="1">
      <alignment horizontal="center"/>
    </xf>
    <xf numFmtId="171" fontId="7" fillId="0" borderId="0" xfId="0" applyNumberFormat="1" applyFont="1" applyAlignment="1">
      <alignment horizontal="center"/>
    </xf>
    <xf numFmtId="171" fontId="8" fillId="0" borderId="0" xfId="0" applyNumberFormat="1" applyFont="1" applyAlignment="1">
      <alignment horizontal="center"/>
    </xf>
    <xf numFmtId="171" fontId="7" fillId="0" borderId="4" xfId="0" applyNumberFormat="1" applyFont="1" applyBorder="1" applyAlignment="1">
      <alignment horizontal="center"/>
    </xf>
    <xf numFmtId="171" fontId="7" fillId="0" borderId="8" xfId="0" applyNumberFormat="1" applyFont="1" applyBorder="1" applyAlignment="1">
      <alignment horizontal="center"/>
    </xf>
    <xf numFmtId="14" fontId="5" fillId="0" borderId="0" xfId="0" applyNumberFormat="1" applyFont="1" applyAlignment="1">
      <alignment horizontal="left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164" fontId="0" fillId="8" borderId="0" xfId="0" applyNumberFormat="1" applyFill="1" applyAlignment="1">
      <alignment horizontal="center"/>
    </xf>
    <xf numFmtId="164" fontId="4" fillId="8" borderId="0" xfId="0" applyNumberFormat="1" applyFont="1" applyFill="1" applyAlignment="1">
      <alignment horizontal="center"/>
    </xf>
    <xf numFmtId="164" fontId="12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164" fontId="0" fillId="10" borderId="0" xfId="0" applyNumberFormat="1" applyFill="1" applyAlignment="1">
      <alignment horizontal="center"/>
    </xf>
    <xf numFmtId="164" fontId="4" fillId="10" borderId="0" xfId="0" applyNumberFormat="1" applyFont="1" applyFill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7" fillId="8" borderId="0" xfId="0" applyFont="1" applyFill="1" applyAlignment="1">
      <alignment horizontal="center"/>
    </xf>
    <xf numFmtId="0" fontId="8" fillId="8" borderId="0" xfId="0" applyFont="1" applyFill="1" applyAlignment="1">
      <alignment horizontal="center"/>
    </xf>
    <xf numFmtId="171" fontId="8" fillId="8" borderId="0" xfId="0" applyNumberFormat="1" applyFont="1" applyFill="1" applyAlignment="1">
      <alignment horizontal="center"/>
    </xf>
    <xf numFmtId="170" fontId="8" fillId="8" borderId="0" xfId="0" applyNumberFormat="1" applyFont="1" applyFill="1" applyAlignment="1">
      <alignment horizontal="center"/>
    </xf>
    <xf numFmtId="170" fontId="8" fillId="8" borderId="4" xfId="0" applyNumberFormat="1" applyFont="1" applyFill="1" applyBorder="1" applyAlignment="1">
      <alignment horizontal="center"/>
    </xf>
    <xf numFmtId="171" fontId="7" fillId="8" borderId="0" xfId="0" applyNumberFormat="1" applyFont="1" applyFill="1" applyAlignment="1">
      <alignment horizontal="center"/>
    </xf>
    <xf numFmtId="171" fontId="7" fillId="8" borderId="4" xfId="0" applyNumberFormat="1" applyFont="1" applyFill="1" applyBorder="1" applyAlignment="1">
      <alignment horizontal="center"/>
    </xf>
    <xf numFmtId="171" fontId="7" fillId="8" borderId="8" xfId="0" applyNumberFormat="1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/>
    </xf>
    <xf numFmtId="164" fontId="0" fillId="4" borderId="0" xfId="0" applyNumberFormat="1" applyFill="1" applyAlignment="1">
      <alignment horizontal="center"/>
    </xf>
    <xf numFmtId="164" fontId="4" fillId="4" borderId="0" xfId="0" applyNumberFormat="1" applyFont="1" applyFill="1" applyAlignment="1">
      <alignment horizontal="center"/>
    </xf>
    <xf numFmtId="164" fontId="0" fillId="2" borderId="0" xfId="0" applyNumberFormat="1" applyFill="1"/>
    <xf numFmtId="14" fontId="0" fillId="0" borderId="0" xfId="0" applyNumberFormat="1"/>
    <xf numFmtId="3" fontId="0" fillId="0" borderId="0" xfId="0" applyNumberFormat="1"/>
    <xf numFmtId="0" fontId="0" fillId="0" borderId="0" xfId="0" applyAlignment="1">
      <alignment wrapText="1"/>
    </xf>
    <xf numFmtId="164" fontId="0" fillId="4" borderId="0" xfId="0" applyNumberFormat="1" applyFill="1"/>
    <xf numFmtId="14" fontId="0" fillId="0" borderId="0" xfId="0" applyNumberFormat="1" applyAlignment="1">
      <alignment vertical="center"/>
    </xf>
    <xf numFmtId="14" fontId="0" fillId="0" borderId="0" xfId="0" quotePrefix="1" applyNumberFormat="1" applyAlignment="1">
      <alignment vertical="center"/>
    </xf>
    <xf numFmtId="14" fontId="0" fillId="0" borderId="0" xfId="0" quotePrefix="1" applyNumberFormat="1"/>
    <xf numFmtId="0" fontId="11" fillId="0" borderId="0" xfId="0" applyFont="1" applyAlignment="1">
      <alignment horizontal="center"/>
    </xf>
    <xf numFmtId="0" fontId="18" fillId="0" borderId="0" xfId="0" applyFont="1"/>
    <xf numFmtId="0" fontId="0" fillId="11" borderId="0" xfId="0" applyFill="1"/>
    <xf numFmtId="0" fontId="0" fillId="12" borderId="0" xfId="0" applyFill="1"/>
    <xf numFmtId="8" fontId="19" fillId="0" borderId="0" xfId="0" applyNumberFormat="1" applyFont="1"/>
    <xf numFmtId="8" fontId="4" fillId="0" borderId="0" xfId="0" applyNumberFormat="1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0" fillId="0" borderId="0" xfId="0" applyFont="1"/>
    <xf numFmtId="164" fontId="0" fillId="2" borderId="0" xfId="0" applyNumberFormat="1" applyFill="1" applyAlignment="1">
      <alignment horizontal="center"/>
    </xf>
    <xf numFmtId="0" fontId="21" fillId="0" borderId="1" xfId="0" applyFont="1" applyBorder="1" applyAlignment="1">
      <alignment horizontal="center" vertical="center" textRotation="90" wrapText="1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0" borderId="13" xfId="0" applyFont="1" applyBorder="1" applyAlignment="1">
      <alignment horizontal="center"/>
    </xf>
    <xf numFmtId="0" fontId="11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64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0" fontId="0" fillId="4" borderId="0" xfId="0" applyFill="1" applyAlignment="1">
      <alignment horizontal="center"/>
    </xf>
    <xf numFmtId="3" fontId="5" fillId="0" borderId="0" xfId="0" applyNumberFormat="1" applyFont="1" applyAlignment="1">
      <alignment horizontal="center"/>
    </xf>
    <xf numFmtId="164" fontId="0" fillId="13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7" fillId="8" borderId="0" xfId="0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0" xfId="0" applyFont="1"/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8" fillId="9" borderId="0" xfId="0" applyFont="1" applyFill="1" applyAlignment="1">
      <alignment horizontal="left" wrapText="1" indent="1"/>
    </xf>
    <xf numFmtId="164" fontId="0" fillId="0" borderId="0" xfId="0" applyNumberFormat="1" applyAlignment="1">
      <alignment horizontal="right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center"/>
    </xf>
    <xf numFmtId="0" fontId="26" fillId="0" borderId="0" xfId="0" applyFont="1"/>
    <xf numFmtId="0" fontId="27" fillId="0" borderId="0" xfId="0" applyFont="1"/>
    <xf numFmtId="0" fontId="28" fillId="0" borderId="0" xfId="0" applyFont="1"/>
    <xf numFmtId="0" fontId="28" fillId="0" borderId="0" xfId="0" applyFont="1" applyAlignment="1">
      <alignment wrapText="1"/>
    </xf>
    <xf numFmtId="0" fontId="29" fillId="0" borderId="0" xfId="0" applyFont="1" applyAlignment="1">
      <alignment horizontal="right"/>
    </xf>
    <xf numFmtId="0" fontId="26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39B2D-6261-48C5-B619-780296C93D6A}">
  <sheetPr>
    <pageSetUpPr fitToPage="1"/>
  </sheetPr>
  <dimension ref="B4:B30"/>
  <sheetViews>
    <sheetView showGridLines="0" zoomScale="80" zoomScaleNormal="80" workbookViewId="0">
      <selection activeCell="B4" sqref="B4"/>
    </sheetView>
  </sheetViews>
  <sheetFormatPr defaultColWidth="8.88671875" defaultRowHeight="13.8" x14ac:dyDescent="0.3"/>
  <cols>
    <col min="1" max="1" width="19.33203125" style="177" customWidth="1"/>
    <col min="2" max="2" width="125.88671875" style="177" customWidth="1"/>
    <col min="3" max="16384" width="8.88671875" style="177"/>
  </cols>
  <sheetData>
    <row r="4" spans="2:2" s="174" customFormat="1" ht="36.6" x14ac:dyDescent="0.7">
      <c r="B4" s="173" t="s">
        <v>462</v>
      </c>
    </row>
    <row r="5" spans="2:2" s="174" customFormat="1" ht="36.6" x14ac:dyDescent="0.7"/>
    <row r="6" spans="2:2" s="174" customFormat="1" ht="36.6" x14ac:dyDescent="0.7"/>
    <row r="7" spans="2:2" s="174" customFormat="1" ht="36.6" x14ac:dyDescent="0.7"/>
    <row r="8" spans="2:2" s="174" customFormat="1" ht="36.6" x14ac:dyDescent="0.7"/>
    <row r="9" spans="2:2" s="174" customFormat="1" ht="36.6" x14ac:dyDescent="0.7">
      <c r="B9" s="175" t="s">
        <v>463</v>
      </c>
    </row>
    <row r="10" spans="2:2" s="174" customFormat="1" ht="36.6" x14ac:dyDescent="0.7">
      <c r="B10" s="175" t="s">
        <v>464</v>
      </c>
    </row>
    <row r="14" spans="2:2" s="176" customFormat="1" ht="15.6" x14ac:dyDescent="0.3"/>
    <row r="15" spans="2:2" s="176" customFormat="1" ht="15.6" x14ac:dyDescent="0.3"/>
    <row r="16" spans="2:2" s="176" customFormat="1" ht="15.6" x14ac:dyDescent="0.3"/>
    <row r="17" spans="2:2" ht="15.6" x14ac:dyDescent="0.3">
      <c r="B17" s="179"/>
    </row>
    <row r="18" spans="2:2" ht="15.6" x14ac:dyDescent="0.3">
      <c r="B18" s="178"/>
    </row>
    <row r="28" spans="2:2" ht="15.6" x14ac:dyDescent="0.3">
      <c r="B28" s="180" t="s">
        <v>461</v>
      </c>
    </row>
    <row r="29" spans="2:2" ht="15.6" x14ac:dyDescent="0.3">
      <c r="B29" s="181" t="s">
        <v>466</v>
      </c>
    </row>
    <row r="30" spans="2:2" ht="15.6" x14ac:dyDescent="0.3">
      <c r="B30" s="181" t="s">
        <v>465</v>
      </c>
    </row>
  </sheetData>
  <pageMargins left="0.70866141732283472" right="0.70866141732283472" top="0.74803149606299213" bottom="0.74803149606299213" header="0.31496062992125984" footer="0.31496062992125984"/>
  <pageSetup paperSize="9" scale="82" orientation="landscape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0"/>
  <sheetViews>
    <sheetView workbookViewId="0">
      <pane ySplit="3" topLeftCell="A4" activePane="bottomLeft" state="frozen"/>
      <selection pane="bottomLeft" activeCell="I5" sqref="I5:J5"/>
    </sheetView>
  </sheetViews>
  <sheetFormatPr defaultRowHeight="14.4" x14ac:dyDescent="0.3"/>
  <cols>
    <col min="1" max="1" width="15.88671875" style="13" bestFit="1" customWidth="1"/>
    <col min="2" max="2" width="11.21875" style="13" customWidth="1"/>
    <col min="3" max="3" width="9.5546875" style="13" bestFit="1" customWidth="1"/>
    <col min="4" max="4" width="16" style="13" bestFit="1" customWidth="1"/>
    <col min="5" max="5" width="86.109375" bestFit="1" customWidth="1"/>
    <col min="6" max="6" width="13.5546875" style="13" customWidth="1"/>
    <col min="7" max="7" width="14.109375" style="13" bestFit="1" customWidth="1"/>
    <col min="8" max="8" width="10.21875" style="13" customWidth="1"/>
    <col min="9" max="9" width="12.5546875" style="13" customWidth="1"/>
    <col min="10" max="10" width="39.109375" bestFit="1" customWidth="1"/>
  </cols>
  <sheetData>
    <row r="1" spans="1:10" x14ac:dyDescent="0.3">
      <c r="A1" s="44" t="s">
        <v>181</v>
      </c>
      <c r="H1" s="45">
        <f>H2-H49</f>
        <v>-2187.5399999999991</v>
      </c>
    </row>
    <row r="2" spans="1:10" s="21" customFormat="1" x14ac:dyDescent="0.3">
      <c r="A2" s="42">
        <v>44926</v>
      </c>
      <c r="B2" s="23"/>
      <c r="C2" s="23"/>
      <c r="D2" s="23"/>
      <c r="F2" s="23"/>
      <c r="G2" s="23"/>
      <c r="H2" s="43">
        <f>H4</f>
        <v>6208.01</v>
      </c>
      <c r="I2" s="43"/>
    </row>
    <row r="3" spans="1:10" s="20" customFormat="1" ht="28.8" x14ac:dyDescent="0.3">
      <c r="A3" s="31" t="s">
        <v>108</v>
      </c>
      <c r="B3" s="40" t="s">
        <v>109</v>
      </c>
      <c r="C3" s="31" t="s">
        <v>110</v>
      </c>
      <c r="D3" s="31" t="s">
        <v>111</v>
      </c>
      <c r="E3" s="20" t="s">
        <v>112</v>
      </c>
      <c r="F3" s="46" t="s">
        <v>113</v>
      </c>
      <c r="G3" s="31" t="s">
        <v>114</v>
      </c>
      <c r="H3" s="31" t="s">
        <v>115</v>
      </c>
      <c r="I3" s="163" t="s">
        <v>164</v>
      </c>
      <c r="J3" s="163"/>
    </row>
    <row r="4" spans="1:10" x14ac:dyDescent="0.3">
      <c r="A4" s="41">
        <v>44907</v>
      </c>
      <c r="B4" s="13" t="s">
        <v>116</v>
      </c>
      <c r="C4" s="13" t="s">
        <v>117</v>
      </c>
      <c r="D4" s="13">
        <v>32041968</v>
      </c>
      <c r="E4" t="s">
        <v>118</v>
      </c>
      <c r="F4" s="47">
        <v>238.25</v>
      </c>
      <c r="H4" s="18">
        <v>6208.01</v>
      </c>
      <c r="I4" s="18" t="s">
        <v>168</v>
      </c>
      <c r="J4" t="s">
        <v>165</v>
      </c>
    </row>
    <row r="5" spans="1:10" x14ac:dyDescent="0.3">
      <c r="A5" s="41">
        <v>44902</v>
      </c>
      <c r="B5" s="13" t="s">
        <v>116</v>
      </c>
      <c r="C5" s="13" t="s">
        <v>117</v>
      </c>
      <c r="D5" s="13">
        <v>32041968</v>
      </c>
      <c r="E5" t="s">
        <v>119</v>
      </c>
      <c r="F5" s="47">
        <v>227.65</v>
      </c>
      <c r="G5" s="18"/>
      <c r="H5" s="18">
        <v>6446.26</v>
      </c>
      <c r="I5" s="18" t="s">
        <v>168</v>
      </c>
      <c r="J5" t="s">
        <v>165</v>
      </c>
    </row>
    <row r="6" spans="1:10" x14ac:dyDescent="0.3">
      <c r="A6" s="41">
        <v>44902</v>
      </c>
      <c r="B6" s="13" t="s">
        <v>116</v>
      </c>
      <c r="C6" s="13" t="s">
        <v>117</v>
      </c>
      <c r="D6" s="13">
        <v>32041968</v>
      </c>
      <c r="E6" t="s">
        <v>120</v>
      </c>
      <c r="F6" s="47">
        <v>18</v>
      </c>
      <c r="G6" s="18"/>
      <c r="H6" s="18">
        <v>6673.91</v>
      </c>
      <c r="I6" s="18" t="s">
        <v>168</v>
      </c>
      <c r="J6" t="s">
        <v>166</v>
      </c>
    </row>
    <row r="7" spans="1:10" x14ac:dyDescent="0.3">
      <c r="A7" s="41">
        <v>44851</v>
      </c>
      <c r="B7" s="13" t="s">
        <v>121</v>
      </c>
      <c r="C7" s="13" t="s">
        <v>117</v>
      </c>
      <c r="D7" s="13">
        <v>32041968</v>
      </c>
      <c r="E7" t="s">
        <v>122</v>
      </c>
      <c r="F7" s="47"/>
      <c r="G7" s="18">
        <v>417</v>
      </c>
      <c r="H7" s="18">
        <v>6691.91</v>
      </c>
      <c r="I7" s="18" t="s">
        <v>169</v>
      </c>
      <c r="J7" t="s">
        <v>167</v>
      </c>
    </row>
    <row r="8" spans="1:10" x14ac:dyDescent="0.3">
      <c r="A8" s="41">
        <v>44837</v>
      </c>
      <c r="B8" s="13" t="s">
        <v>116</v>
      </c>
      <c r="C8" s="13" t="s">
        <v>117</v>
      </c>
      <c r="D8" s="13">
        <v>32041968</v>
      </c>
      <c r="E8" t="s">
        <v>123</v>
      </c>
      <c r="F8" s="47">
        <v>603.54</v>
      </c>
      <c r="G8" s="18"/>
      <c r="H8" s="18">
        <v>6274.91</v>
      </c>
      <c r="I8" s="18" t="s">
        <v>168</v>
      </c>
      <c r="J8" t="s">
        <v>170</v>
      </c>
    </row>
    <row r="9" spans="1:10" x14ac:dyDescent="0.3">
      <c r="A9" s="41">
        <v>44830</v>
      </c>
      <c r="B9" s="13" t="s">
        <v>116</v>
      </c>
      <c r="C9" s="13" t="s">
        <v>117</v>
      </c>
      <c r="D9" s="13">
        <v>32041968</v>
      </c>
      <c r="E9" t="s">
        <v>124</v>
      </c>
      <c r="F9" s="47">
        <v>297.2</v>
      </c>
      <c r="G9" s="18"/>
      <c r="H9" s="18">
        <v>6878.45</v>
      </c>
      <c r="I9" s="18" t="s">
        <v>168</v>
      </c>
      <c r="J9" t="s">
        <v>165</v>
      </c>
    </row>
    <row r="10" spans="1:10" x14ac:dyDescent="0.3">
      <c r="A10" s="41">
        <v>44812</v>
      </c>
      <c r="B10" s="13" t="s">
        <v>116</v>
      </c>
      <c r="C10" s="13" t="s">
        <v>117</v>
      </c>
      <c r="D10" s="13">
        <v>32041968</v>
      </c>
      <c r="E10" t="s">
        <v>125</v>
      </c>
      <c r="F10" s="47">
        <v>174</v>
      </c>
      <c r="G10" s="18"/>
      <c r="H10" s="18">
        <v>7175.65</v>
      </c>
      <c r="I10" s="18" t="s">
        <v>171</v>
      </c>
      <c r="J10" t="s">
        <v>172</v>
      </c>
    </row>
    <row r="11" spans="1:10" x14ac:dyDescent="0.3">
      <c r="A11" s="41">
        <v>44784</v>
      </c>
      <c r="B11" s="13" t="s">
        <v>116</v>
      </c>
      <c r="C11" s="13" t="s">
        <v>117</v>
      </c>
      <c r="D11" s="13">
        <v>32041968</v>
      </c>
      <c r="E11" t="s">
        <v>126</v>
      </c>
      <c r="F11" s="47">
        <v>5.25</v>
      </c>
      <c r="G11" s="18"/>
      <c r="H11" s="18">
        <v>7349.65</v>
      </c>
      <c r="I11" s="18" t="s">
        <v>171</v>
      </c>
      <c r="J11" t="s">
        <v>172</v>
      </c>
    </row>
    <row r="12" spans="1:10" x14ac:dyDescent="0.3">
      <c r="A12" s="41">
        <v>44734</v>
      </c>
      <c r="B12" s="13" t="s">
        <v>116</v>
      </c>
      <c r="C12" s="13" t="s">
        <v>117</v>
      </c>
      <c r="D12" s="13">
        <v>32041968</v>
      </c>
      <c r="E12" t="s">
        <v>127</v>
      </c>
      <c r="F12" s="47">
        <v>204</v>
      </c>
      <c r="G12" s="18"/>
      <c r="H12" s="18">
        <v>7354.9</v>
      </c>
      <c r="I12" s="18" t="s">
        <v>171</v>
      </c>
      <c r="J12" t="s">
        <v>172</v>
      </c>
    </row>
    <row r="13" spans="1:10" x14ac:dyDescent="0.3">
      <c r="A13" s="41">
        <v>44729</v>
      </c>
      <c r="B13" s="13" t="s">
        <v>116</v>
      </c>
      <c r="C13" s="13" t="s">
        <v>117</v>
      </c>
      <c r="D13" s="13">
        <v>32041968</v>
      </c>
      <c r="E13" t="s">
        <v>128</v>
      </c>
      <c r="F13" s="47">
        <v>299.2</v>
      </c>
      <c r="G13" s="18"/>
      <c r="H13" s="18">
        <v>7558.9</v>
      </c>
      <c r="I13" s="18" t="s">
        <v>168</v>
      </c>
      <c r="J13" t="s">
        <v>165</v>
      </c>
    </row>
    <row r="14" spans="1:10" x14ac:dyDescent="0.3">
      <c r="A14" s="41">
        <v>44729</v>
      </c>
      <c r="B14" s="13" t="s">
        <v>121</v>
      </c>
      <c r="C14" s="13" t="s">
        <v>117</v>
      </c>
      <c r="D14" s="13">
        <v>32041968</v>
      </c>
      <c r="E14" t="s">
        <v>129</v>
      </c>
      <c r="F14" s="47"/>
      <c r="G14" s="18">
        <v>120.8</v>
      </c>
      <c r="H14" s="18">
        <v>7858.1</v>
      </c>
      <c r="I14" s="18" t="s">
        <v>169</v>
      </c>
      <c r="J14" t="s">
        <v>173</v>
      </c>
    </row>
    <row r="15" spans="1:10" x14ac:dyDescent="0.3">
      <c r="A15" s="41">
        <v>44725</v>
      </c>
      <c r="B15" s="13" t="s">
        <v>130</v>
      </c>
      <c r="C15" s="13" t="s">
        <v>117</v>
      </c>
      <c r="D15" s="13">
        <v>32041968</v>
      </c>
      <c r="E15" t="s">
        <v>131</v>
      </c>
      <c r="F15" s="47">
        <v>71.86</v>
      </c>
      <c r="G15" s="18"/>
      <c r="H15" s="18">
        <v>7737.3</v>
      </c>
      <c r="I15" s="18" t="s">
        <v>175</v>
      </c>
      <c r="J15" t="s">
        <v>176</v>
      </c>
    </row>
    <row r="16" spans="1:10" x14ac:dyDescent="0.3">
      <c r="A16" s="41">
        <v>44720</v>
      </c>
      <c r="B16" s="13" t="s">
        <v>116</v>
      </c>
      <c r="C16" s="13" t="s">
        <v>117</v>
      </c>
      <c r="D16" s="13">
        <v>32041968</v>
      </c>
      <c r="E16" t="s">
        <v>132</v>
      </c>
      <c r="F16" s="47">
        <v>30</v>
      </c>
      <c r="G16" s="18"/>
      <c r="H16" s="18">
        <v>7809.16</v>
      </c>
      <c r="I16" s="18" t="s">
        <v>179</v>
      </c>
      <c r="J16" t="s">
        <v>61</v>
      </c>
    </row>
    <row r="17" spans="1:10" x14ac:dyDescent="0.3">
      <c r="A17" s="41">
        <v>44720</v>
      </c>
      <c r="B17" s="13" t="s">
        <v>130</v>
      </c>
      <c r="C17" s="13" t="s">
        <v>117</v>
      </c>
      <c r="D17" s="13">
        <v>32041968</v>
      </c>
      <c r="E17" t="s">
        <v>131</v>
      </c>
      <c r="F17" s="47">
        <v>14.39</v>
      </c>
      <c r="G17" s="18"/>
      <c r="H17" s="18">
        <v>7839.16</v>
      </c>
      <c r="I17" s="18" t="s">
        <v>175</v>
      </c>
      <c r="J17" t="s">
        <v>177</v>
      </c>
    </row>
    <row r="18" spans="1:10" x14ac:dyDescent="0.3">
      <c r="A18" s="41">
        <v>44719</v>
      </c>
      <c r="B18" s="13" t="s">
        <v>116</v>
      </c>
      <c r="C18" s="13" t="s">
        <v>117</v>
      </c>
      <c r="D18" s="13">
        <v>32041968</v>
      </c>
      <c r="E18" t="s">
        <v>133</v>
      </c>
      <c r="F18" s="47">
        <v>15</v>
      </c>
      <c r="G18" s="18"/>
      <c r="H18" s="18">
        <v>7853.55</v>
      </c>
      <c r="I18" s="18" t="s">
        <v>179</v>
      </c>
      <c r="J18" t="s">
        <v>61</v>
      </c>
    </row>
    <row r="19" spans="1:10" x14ac:dyDescent="0.3">
      <c r="A19" s="41">
        <v>44719</v>
      </c>
      <c r="B19" s="13" t="s">
        <v>116</v>
      </c>
      <c r="C19" s="13" t="s">
        <v>117</v>
      </c>
      <c r="D19" s="13">
        <v>32041968</v>
      </c>
      <c r="E19" t="s">
        <v>134</v>
      </c>
      <c r="F19" s="47">
        <v>45</v>
      </c>
      <c r="G19" s="18"/>
      <c r="H19" s="18">
        <v>7868.55</v>
      </c>
      <c r="I19" s="18" t="s">
        <v>179</v>
      </c>
      <c r="J19" t="s">
        <v>61</v>
      </c>
    </row>
    <row r="20" spans="1:10" x14ac:dyDescent="0.3">
      <c r="A20" s="41">
        <v>44718</v>
      </c>
      <c r="B20" s="13" t="s">
        <v>116</v>
      </c>
      <c r="C20" s="13" t="s">
        <v>117</v>
      </c>
      <c r="D20" s="13">
        <v>32041968</v>
      </c>
      <c r="E20" t="s">
        <v>135</v>
      </c>
      <c r="F20" s="47">
        <v>156.16</v>
      </c>
      <c r="G20" s="18"/>
      <c r="H20" s="18">
        <v>7913.55</v>
      </c>
      <c r="I20" s="18" t="s">
        <v>168</v>
      </c>
      <c r="J20" t="s">
        <v>165</v>
      </c>
    </row>
    <row r="21" spans="1:10" x14ac:dyDescent="0.3">
      <c r="A21" s="41">
        <v>44718</v>
      </c>
      <c r="B21" s="13" t="s">
        <v>116</v>
      </c>
      <c r="C21" s="13" t="s">
        <v>117</v>
      </c>
      <c r="D21" s="13">
        <v>32041968</v>
      </c>
      <c r="E21" t="s">
        <v>136</v>
      </c>
      <c r="F21" s="47">
        <v>429.84</v>
      </c>
      <c r="G21" s="18"/>
      <c r="H21" s="18">
        <v>8069.71</v>
      </c>
      <c r="I21" s="18" t="s">
        <v>168</v>
      </c>
      <c r="J21" t="s">
        <v>174</v>
      </c>
    </row>
    <row r="22" spans="1:10" x14ac:dyDescent="0.3">
      <c r="A22" s="41">
        <v>44708</v>
      </c>
      <c r="B22" s="13" t="s">
        <v>116</v>
      </c>
      <c r="C22" s="13" t="s">
        <v>117</v>
      </c>
      <c r="D22" s="13">
        <v>32041968</v>
      </c>
      <c r="E22" t="s">
        <v>137</v>
      </c>
      <c r="F22" s="47">
        <v>86</v>
      </c>
      <c r="G22" s="18"/>
      <c r="H22" s="18">
        <v>8499.5499999999993</v>
      </c>
      <c r="I22" s="18" t="s">
        <v>168</v>
      </c>
      <c r="J22" t="s">
        <v>165</v>
      </c>
    </row>
    <row r="23" spans="1:10" x14ac:dyDescent="0.3">
      <c r="A23" s="41">
        <v>44676</v>
      </c>
      <c r="B23" s="13" t="s">
        <v>116</v>
      </c>
      <c r="C23" s="13" t="s">
        <v>117</v>
      </c>
      <c r="D23" s="13">
        <v>32041968</v>
      </c>
      <c r="E23" t="s">
        <v>138</v>
      </c>
      <c r="F23" s="47">
        <v>75</v>
      </c>
      <c r="G23" s="18"/>
      <c r="H23" s="18">
        <v>8585.5499999999993</v>
      </c>
      <c r="I23" s="18" t="s">
        <v>179</v>
      </c>
      <c r="J23" t="s">
        <v>61</v>
      </c>
    </row>
    <row r="24" spans="1:10" x14ac:dyDescent="0.3">
      <c r="A24" s="41">
        <v>44663</v>
      </c>
      <c r="B24" s="13" t="s">
        <v>116</v>
      </c>
      <c r="C24" s="13" t="s">
        <v>117</v>
      </c>
      <c r="D24" s="13">
        <v>32041968</v>
      </c>
      <c r="E24" t="s">
        <v>139</v>
      </c>
      <c r="F24" s="47">
        <v>60</v>
      </c>
      <c r="G24" s="18"/>
      <c r="H24" s="18">
        <v>8660.5499999999993</v>
      </c>
      <c r="I24" s="18" t="s">
        <v>179</v>
      </c>
      <c r="J24" t="s">
        <v>61</v>
      </c>
    </row>
    <row r="25" spans="1:10" x14ac:dyDescent="0.3">
      <c r="A25" s="41">
        <v>44634</v>
      </c>
      <c r="B25" s="13" t="s">
        <v>121</v>
      </c>
      <c r="C25" s="13" t="s">
        <v>117</v>
      </c>
      <c r="D25" s="13">
        <v>32041968</v>
      </c>
      <c r="E25" t="s">
        <v>140</v>
      </c>
      <c r="F25" s="47"/>
      <c r="G25" s="18">
        <v>70</v>
      </c>
      <c r="H25" s="18">
        <v>8720.5499999999993</v>
      </c>
      <c r="I25" s="18" t="s">
        <v>179</v>
      </c>
      <c r="J25" t="s">
        <v>180</v>
      </c>
    </row>
    <row r="26" spans="1:10" x14ac:dyDescent="0.3">
      <c r="A26" s="41">
        <v>44634</v>
      </c>
      <c r="B26" s="13" t="s">
        <v>121</v>
      </c>
      <c r="C26" s="13" t="s">
        <v>117</v>
      </c>
      <c r="D26" s="13">
        <v>32041968</v>
      </c>
      <c r="E26" t="s">
        <v>141</v>
      </c>
      <c r="F26" s="47"/>
      <c r="G26" s="18">
        <v>5</v>
      </c>
      <c r="H26" s="18">
        <v>8650.5499999999993</v>
      </c>
      <c r="I26" s="18" t="s">
        <v>179</v>
      </c>
      <c r="J26" t="s">
        <v>180</v>
      </c>
    </row>
    <row r="27" spans="1:10" x14ac:dyDescent="0.3">
      <c r="A27" s="41">
        <v>44631</v>
      </c>
      <c r="B27" s="13" t="s">
        <v>121</v>
      </c>
      <c r="C27" s="13" t="s">
        <v>117</v>
      </c>
      <c r="D27" s="13">
        <v>32041968</v>
      </c>
      <c r="E27" t="s">
        <v>142</v>
      </c>
      <c r="F27" s="47"/>
      <c r="G27" s="18">
        <v>20</v>
      </c>
      <c r="H27" s="18">
        <v>8645.5499999999993</v>
      </c>
      <c r="I27" s="18" t="s">
        <v>179</v>
      </c>
      <c r="J27" t="s">
        <v>180</v>
      </c>
    </row>
    <row r="28" spans="1:10" x14ac:dyDescent="0.3">
      <c r="A28" s="41">
        <v>44627</v>
      </c>
      <c r="B28" s="13" t="s">
        <v>116</v>
      </c>
      <c r="C28" s="13" t="s">
        <v>117</v>
      </c>
      <c r="D28" s="13">
        <v>32041968</v>
      </c>
      <c r="E28" t="s">
        <v>143</v>
      </c>
      <c r="F28" s="47">
        <v>145</v>
      </c>
      <c r="G28" s="18"/>
      <c r="H28" s="18">
        <v>8625.5499999999993</v>
      </c>
      <c r="I28" s="18" t="s">
        <v>179</v>
      </c>
      <c r="J28" t="s">
        <v>61</v>
      </c>
    </row>
    <row r="29" spans="1:10" x14ac:dyDescent="0.3">
      <c r="A29" s="41">
        <v>44627</v>
      </c>
      <c r="B29" s="13" t="s">
        <v>116</v>
      </c>
      <c r="C29" s="13" t="s">
        <v>117</v>
      </c>
      <c r="D29" s="13">
        <v>32041968</v>
      </c>
      <c r="E29" t="s">
        <v>144</v>
      </c>
      <c r="F29" s="47">
        <v>30</v>
      </c>
      <c r="G29" s="18"/>
      <c r="H29" s="18">
        <v>8770.5499999999993</v>
      </c>
      <c r="I29" s="18" t="s">
        <v>179</v>
      </c>
      <c r="J29" t="s">
        <v>61</v>
      </c>
    </row>
    <row r="30" spans="1:10" x14ac:dyDescent="0.3">
      <c r="A30" s="41">
        <v>44603</v>
      </c>
      <c r="B30" s="13" t="s">
        <v>116</v>
      </c>
      <c r="C30" s="13" t="s">
        <v>117</v>
      </c>
      <c r="D30" s="13">
        <v>32041968</v>
      </c>
      <c r="E30" t="s">
        <v>145</v>
      </c>
      <c r="F30" s="47">
        <v>60</v>
      </c>
      <c r="G30" s="18"/>
      <c r="H30" s="18">
        <v>8800.5499999999993</v>
      </c>
      <c r="I30" s="18" t="s">
        <v>179</v>
      </c>
      <c r="J30" t="s">
        <v>61</v>
      </c>
    </row>
    <row r="31" spans="1:10" x14ac:dyDescent="0.3">
      <c r="A31" s="41">
        <v>44601</v>
      </c>
      <c r="B31" s="13" t="s">
        <v>121</v>
      </c>
      <c r="C31" s="13" t="s">
        <v>117</v>
      </c>
      <c r="D31" s="13">
        <v>32041968</v>
      </c>
      <c r="E31" t="s">
        <v>146</v>
      </c>
      <c r="F31" s="47"/>
      <c r="G31" s="18">
        <v>50</v>
      </c>
      <c r="H31" s="18">
        <v>8860.5499999999993</v>
      </c>
      <c r="I31" s="18" t="s">
        <v>179</v>
      </c>
      <c r="J31" t="s">
        <v>180</v>
      </c>
    </row>
    <row r="32" spans="1:10" x14ac:dyDescent="0.3">
      <c r="A32" s="41">
        <v>44599</v>
      </c>
      <c r="B32" s="13" t="s">
        <v>116</v>
      </c>
      <c r="C32" s="13" t="s">
        <v>117</v>
      </c>
      <c r="D32" s="13">
        <v>32041968</v>
      </c>
      <c r="E32" t="s">
        <v>147</v>
      </c>
      <c r="F32" s="47">
        <v>25</v>
      </c>
      <c r="G32" s="18"/>
      <c r="H32" s="18">
        <v>8810.5499999999993</v>
      </c>
      <c r="I32" s="18" t="s">
        <v>175</v>
      </c>
      <c r="J32" t="s">
        <v>178</v>
      </c>
    </row>
    <row r="33" spans="1:10" x14ac:dyDescent="0.3">
      <c r="A33" s="41">
        <v>44595</v>
      </c>
      <c r="B33" s="13" t="s">
        <v>121</v>
      </c>
      <c r="C33" s="13" t="s">
        <v>117</v>
      </c>
      <c r="D33" s="13">
        <v>32041968</v>
      </c>
      <c r="E33" t="s">
        <v>148</v>
      </c>
      <c r="F33" s="47"/>
      <c r="G33" s="18">
        <v>55</v>
      </c>
      <c r="H33" s="18">
        <v>8835.5499999999993</v>
      </c>
      <c r="I33" s="18" t="s">
        <v>179</v>
      </c>
      <c r="J33" t="s">
        <v>180</v>
      </c>
    </row>
    <row r="34" spans="1:10" x14ac:dyDescent="0.3">
      <c r="A34" s="41">
        <v>44593</v>
      </c>
      <c r="B34" s="13" t="s">
        <v>121</v>
      </c>
      <c r="C34" s="13" t="s">
        <v>117</v>
      </c>
      <c r="D34" s="13">
        <v>32041968</v>
      </c>
      <c r="E34" t="s">
        <v>149</v>
      </c>
      <c r="F34" s="47"/>
      <c r="G34" s="18">
        <v>70</v>
      </c>
      <c r="H34" s="18">
        <v>8780.5499999999993</v>
      </c>
      <c r="I34" s="18" t="s">
        <v>179</v>
      </c>
      <c r="J34" t="s">
        <v>180</v>
      </c>
    </row>
    <row r="35" spans="1:10" x14ac:dyDescent="0.3">
      <c r="A35" s="41">
        <v>44592</v>
      </c>
      <c r="B35" s="13" t="s">
        <v>116</v>
      </c>
      <c r="C35" s="13" t="s">
        <v>117</v>
      </c>
      <c r="D35" s="13">
        <v>32041968</v>
      </c>
      <c r="E35" t="s">
        <v>150</v>
      </c>
      <c r="F35" s="47">
        <v>90</v>
      </c>
      <c r="G35" s="18"/>
      <c r="H35" s="18">
        <v>8710.5499999999993</v>
      </c>
      <c r="I35" s="18" t="s">
        <v>179</v>
      </c>
      <c r="J35" t="s">
        <v>61</v>
      </c>
    </row>
    <row r="36" spans="1:10" x14ac:dyDescent="0.3">
      <c r="A36" s="41">
        <v>44592</v>
      </c>
      <c r="B36" s="13" t="s">
        <v>116</v>
      </c>
      <c r="C36" s="13" t="s">
        <v>117</v>
      </c>
      <c r="D36" s="13">
        <v>32041968</v>
      </c>
      <c r="E36" t="s">
        <v>151</v>
      </c>
      <c r="F36" s="117">
        <v>50</v>
      </c>
      <c r="G36" s="18"/>
      <c r="H36" s="18">
        <v>8800.5499999999993</v>
      </c>
      <c r="I36" s="18" t="s">
        <v>50</v>
      </c>
      <c r="J36" t="s">
        <v>200</v>
      </c>
    </row>
    <row r="37" spans="1:10" x14ac:dyDescent="0.3">
      <c r="A37" s="41">
        <v>44592</v>
      </c>
      <c r="B37" s="13" t="s">
        <v>121</v>
      </c>
      <c r="C37" s="13" t="s">
        <v>117</v>
      </c>
      <c r="D37" s="13">
        <v>32041968</v>
      </c>
      <c r="E37" t="s">
        <v>152</v>
      </c>
      <c r="F37" s="47"/>
      <c r="G37" s="18">
        <v>70</v>
      </c>
      <c r="H37" s="18">
        <v>8850.5499999999993</v>
      </c>
      <c r="I37" s="18" t="s">
        <v>179</v>
      </c>
      <c r="J37" t="s">
        <v>180</v>
      </c>
    </row>
    <row r="38" spans="1:10" x14ac:dyDescent="0.3">
      <c r="A38" s="41">
        <v>44589</v>
      </c>
      <c r="B38" s="13" t="s">
        <v>121</v>
      </c>
      <c r="C38" s="13" t="s">
        <v>117</v>
      </c>
      <c r="D38" s="13">
        <v>32041968</v>
      </c>
      <c r="E38" t="s">
        <v>153</v>
      </c>
      <c r="F38" s="47"/>
      <c r="G38" s="18">
        <v>25</v>
      </c>
      <c r="H38" s="18">
        <v>8780.5499999999993</v>
      </c>
      <c r="I38" s="18" t="s">
        <v>179</v>
      </c>
      <c r="J38" t="s">
        <v>180</v>
      </c>
    </row>
    <row r="39" spans="1:10" x14ac:dyDescent="0.3">
      <c r="A39" s="41">
        <v>44589</v>
      </c>
      <c r="B39" s="13" t="s">
        <v>121</v>
      </c>
      <c r="C39" s="13" t="s">
        <v>117</v>
      </c>
      <c r="D39" s="13">
        <v>32041968</v>
      </c>
      <c r="E39" t="s">
        <v>154</v>
      </c>
      <c r="F39" s="47"/>
      <c r="G39" s="18">
        <v>55</v>
      </c>
      <c r="H39" s="18">
        <v>8755.5499999999993</v>
      </c>
      <c r="I39" s="18" t="s">
        <v>179</v>
      </c>
      <c r="J39" t="s">
        <v>180</v>
      </c>
    </row>
    <row r="40" spans="1:10" x14ac:dyDescent="0.3">
      <c r="A40" s="41">
        <v>44588</v>
      </c>
      <c r="B40" s="13" t="s">
        <v>116</v>
      </c>
      <c r="C40" s="13" t="s">
        <v>117</v>
      </c>
      <c r="D40" s="13">
        <v>32041968</v>
      </c>
      <c r="E40" t="s">
        <v>155</v>
      </c>
      <c r="F40" s="47">
        <v>75</v>
      </c>
      <c r="G40" s="18"/>
      <c r="H40" s="18">
        <v>8700.5499999999993</v>
      </c>
      <c r="I40" s="18" t="s">
        <v>179</v>
      </c>
      <c r="J40" t="s">
        <v>61</v>
      </c>
    </row>
    <row r="41" spans="1:10" x14ac:dyDescent="0.3">
      <c r="A41" s="41">
        <v>44587</v>
      </c>
      <c r="B41" s="13" t="s">
        <v>121</v>
      </c>
      <c r="C41" s="13" t="s">
        <v>117</v>
      </c>
      <c r="D41" s="13">
        <v>32041968</v>
      </c>
      <c r="E41" t="s">
        <v>156</v>
      </c>
      <c r="F41" s="47"/>
      <c r="G41" s="18">
        <v>150</v>
      </c>
      <c r="H41" s="18">
        <v>8775.5499999999993</v>
      </c>
      <c r="I41" s="18" t="s">
        <v>179</v>
      </c>
      <c r="J41" t="s">
        <v>180</v>
      </c>
    </row>
    <row r="42" spans="1:10" x14ac:dyDescent="0.3">
      <c r="A42" s="41">
        <v>44586</v>
      </c>
      <c r="B42" s="13" t="s">
        <v>116</v>
      </c>
      <c r="C42" s="13" t="s">
        <v>117</v>
      </c>
      <c r="D42" s="13">
        <v>32041968</v>
      </c>
      <c r="E42" t="s">
        <v>157</v>
      </c>
      <c r="F42" s="47">
        <v>130</v>
      </c>
      <c r="G42" s="18"/>
      <c r="H42" s="18">
        <v>8625.5499999999993</v>
      </c>
      <c r="I42" s="18" t="s">
        <v>179</v>
      </c>
      <c r="J42" t="s">
        <v>61</v>
      </c>
    </row>
    <row r="43" spans="1:10" x14ac:dyDescent="0.3">
      <c r="A43" s="41">
        <v>44586</v>
      </c>
      <c r="B43" s="13" t="s">
        <v>121</v>
      </c>
      <c r="C43" s="13" t="s">
        <v>117</v>
      </c>
      <c r="D43" s="13">
        <v>32041968</v>
      </c>
      <c r="E43" t="s">
        <v>158</v>
      </c>
      <c r="F43" s="47"/>
      <c r="G43" s="18">
        <v>85</v>
      </c>
      <c r="H43" s="18">
        <v>8755.5499999999993</v>
      </c>
      <c r="I43" s="18" t="s">
        <v>179</v>
      </c>
      <c r="J43" t="s">
        <v>180</v>
      </c>
    </row>
    <row r="44" spans="1:10" x14ac:dyDescent="0.3">
      <c r="A44" s="41">
        <v>44585</v>
      </c>
      <c r="B44" s="13" t="s">
        <v>121</v>
      </c>
      <c r="C44" s="13" t="s">
        <v>117</v>
      </c>
      <c r="D44" s="13">
        <v>32041968</v>
      </c>
      <c r="E44" t="s">
        <v>159</v>
      </c>
      <c r="F44" s="47"/>
      <c r="G44" s="18">
        <v>35</v>
      </c>
      <c r="H44" s="18">
        <v>8670.5499999999993</v>
      </c>
      <c r="I44" s="18" t="s">
        <v>179</v>
      </c>
      <c r="J44" t="s">
        <v>180</v>
      </c>
    </row>
    <row r="45" spans="1:10" x14ac:dyDescent="0.3">
      <c r="A45" s="41">
        <v>44579</v>
      </c>
      <c r="B45" s="13" t="s">
        <v>121</v>
      </c>
      <c r="C45" s="13" t="s">
        <v>117</v>
      </c>
      <c r="D45" s="13">
        <v>32041968</v>
      </c>
      <c r="E45" t="s">
        <v>160</v>
      </c>
      <c r="F45" s="47"/>
      <c r="G45" s="18">
        <v>50</v>
      </c>
      <c r="H45" s="18">
        <v>8635.5499999999993</v>
      </c>
      <c r="I45" s="18" t="s">
        <v>179</v>
      </c>
      <c r="J45" t="s">
        <v>180</v>
      </c>
    </row>
    <row r="46" spans="1:10" x14ac:dyDescent="0.3">
      <c r="A46" s="41">
        <v>44579</v>
      </c>
      <c r="B46" s="13" t="s">
        <v>121</v>
      </c>
      <c r="C46" s="13" t="s">
        <v>117</v>
      </c>
      <c r="D46" s="13">
        <v>32041968</v>
      </c>
      <c r="E46" t="s">
        <v>161</v>
      </c>
      <c r="F46" s="47"/>
      <c r="G46" s="18">
        <v>85</v>
      </c>
      <c r="H46" s="18">
        <v>8585.5499999999993</v>
      </c>
      <c r="I46" s="18" t="s">
        <v>179</v>
      </c>
      <c r="J46" t="s">
        <v>180</v>
      </c>
    </row>
    <row r="47" spans="1:10" x14ac:dyDescent="0.3">
      <c r="A47" s="41">
        <v>44578</v>
      </c>
      <c r="B47" s="13" t="s">
        <v>121</v>
      </c>
      <c r="C47" s="13" t="s">
        <v>117</v>
      </c>
      <c r="D47" s="13">
        <v>32041968</v>
      </c>
      <c r="E47" t="s">
        <v>162</v>
      </c>
      <c r="F47" s="47"/>
      <c r="G47" s="18">
        <v>55</v>
      </c>
      <c r="H47" s="18">
        <v>8500.5499999999993</v>
      </c>
      <c r="I47" s="18" t="s">
        <v>179</v>
      </c>
      <c r="J47" t="s">
        <v>180</v>
      </c>
    </row>
    <row r="48" spans="1:10" x14ac:dyDescent="0.3">
      <c r="A48" s="41">
        <v>44571</v>
      </c>
      <c r="B48" s="13" t="s">
        <v>121</v>
      </c>
      <c r="C48" s="13" t="s">
        <v>117</v>
      </c>
      <c r="D48" s="13">
        <v>32041968</v>
      </c>
      <c r="E48" t="s">
        <v>163</v>
      </c>
      <c r="F48" s="47"/>
      <c r="G48" s="18">
        <v>50</v>
      </c>
      <c r="H48" s="18">
        <v>8445.5499999999993</v>
      </c>
      <c r="I48" s="18" t="s">
        <v>179</v>
      </c>
      <c r="J48" t="s">
        <v>180</v>
      </c>
    </row>
    <row r="49" spans="1:9" s="21" customFormat="1" x14ac:dyDescent="0.3">
      <c r="A49" s="42">
        <v>44561</v>
      </c>
      <c r="B49" s="23"/>
      <c r="C49" s="23"/>
      <c r="D49" s="23"/>
      <c r="F49" s="47">
        <f>SUM(F4:F48)-F36</f>
        <v>3605.34</v>
      </c>
      <c r="G49" s="18">
        <f>SUM(G4:G48)</f>
        <v>1467.8</v>
      </c>
      <c r="H49" s="43">
        <f>H48-G48</f>
        <v>8395.5499999999993</v>
      </c>
      <c r="I49" s="43"/>
    </row>
    <row r="50" spans="1:9" x14ac:dyDescent="0.3">
      <c r="G50" s="18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58" orientation="landscape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3A150-4C42-4D4C-882C-B00581F58EB2}">
  <sheetPr>
    <pageSetUpPr fitToPage="1"/>
  </sheetPr>
  <dimension ref="A1:J18"/>
  <sheetViews>
    <sheetView workbookViewId="0">
      <selection activeCell="A17" sqref="A17:XFD17"/>
    </sheetView>
  </sheetViews>
  <sheetFormatPr defaultRowHeight="14.4" x14ac:dyDescent="0.3"/>
  <cols>
    <col min="1" max="1" width="15.88671875" style="13" bestFit="1" customWidth="1"/>
    <col min="2" max="2" width="11.21875" style="13" customWidth="1"/>
    <col min="3" max="3" width="9.5546875" style="13" bestFit="1" customWidth="1"/>
    <col min="4" max="4" width="16" style="13" bestFit="1" customWidth="1"/>
    <col min="5" max="5" width="86.109375" bestFit="1" customWidth="1"/>
    <col min="6" max="6" width="13.5546875" style="13" bestFit="1" customWidth="1"/>
    <col min="7" max="7" width="14.109375" style="13" bestFit="1" customWidth="1"/>
    <col min="8" max="8" width="10.21875" style="13" bestFit="1" customWidth="1"/>
    <col min="9" max="9" width="9.44140625" style="13" bestFit="1" customWidth="1"/>
    <col min="10" max="10" width="39.109375" bestFit="1" customWidth="1"/>
  </cols>
  <sheetData>
    <row r="1" spans="1:10" x14ac:dyDescent="0.3">
      <c r="A1" s="44" t="s">
        <v>181</v>
      </c>
      <c r="H1" s="45">
        <f>H2-H17</f>
        <v>-343.79000000000087</v>
      </c>
    </row>
    <row r="2" spans="1:10" s="21" customFormat="1" x14ac:dyDescent="0.3">
      <c r="A2" s="42">
        <v>44561</v>
      </c>
      <c r="B2" s="23"/>
      <c r="C2" s="23"/>
      <c r="D2" s="23"/>
      <c r="F2" s="23"/>
      <c r="G2" s="23"/>
      <c r="H2" s="43">
        <v>8395.5499999999993</v>
      </c>
      <c r="I2" s="43"/>
    </row>
    <row r="3" spans="1:10" s="20" customFormat="1" ht="28.8" x14ac:dyDescent="0.3">
      <c r="A3" s="31" t="s">
        <v>108</v>
      </c>
      <c r="B3" s="40" t="s">
        <v>109</v>
      </c>
      <c r="C3" s="31" t="s">
        <v>110</v>
      </c>
      <c r="D3" s="31" t="s">
        <v>111</v>
      </c>
      <c r="E3" s="20" t="s">
        <v>112</v>
      </c>
      <c r="F3" s="46" t="s">
        <v>113</v>
      </c>
      <c r="G3" s="31" t="s">
        <v>114</v>
      </c>
      <c r="H3" s="31" t="s">
        <v>115</v>
      </c>
      <c r="I3" s="163" t="s">
        <v>164</v>
      </c>
      <c r="J3" s="163"/>
    </row>
    <row r="4" spans="1:10" x14ac:dyDescent="0.3">
      <c r="A4" s="41">
        <v>44502</v>
      </c>
      <c r="B4" s="13" t="s">
        <v>234</v>
      </c>
      <c r="C4" s="13" t="s">
        <v>117</v>
      </c>
      <c r="D4" s="13">
        <v>32041968</v>
      </c>
      <c r="E4" t="s">
        <v>235</v>
      </c>
      <c r="F4" s="47"/>
      <c r="G4" s="102">
        <v>5</v>
      </c>
      <c r="H4" s="18">
        <v>8395.5499999999993</v>
      </c>
      <c r="I4" s="18"/>
    </row>
    <row r="5" spans="1:10" x14ac:dyDescent="0.3">
      <c r="A5" s="41">
        <v>44452</v>
      </c>
      <c r="B5" s="13" t="s">
        <v>234</v>
      </c>
      <c r="C5" s="13" t="s">
        <v>117</v>
      </c>
      <c r="D5" s="13">
        <v>32041968</v>
      </c>
      <c r="E5" t="s">
        <v>241</v>
      </c>
      <c r="F5" s="47"/>
      <c r="G5" s="98">
        <v>8340.5499999999993</v>
      </c>
      <c r="H5" s="18">
        <v>8390.5499999999993</v>
      </c>
      <c r="I5" s="18"/>
    </row>
    <row r="6" spans="1:10" x14ac:dyDescent="0.3">
      <c r="A6" s="41">
        <v>44449</v>
      </c>
      <c r="B6" s="13" t="s">
        <v>121</v>
      </c>
      <c r="C6" s="13" t="s">
        <v>117</v>
      </c>
      <c r="D6" s="13">
        <v>32041968</v>
      </c>
      <c r="E6" t="s">
        <v>236</v>
      </c>
      <c r="F6" s="47"/>
      <c r="G6" s="116">
        <v>50</v>
      </c>
      <c r="H6" s="18">
        <v>50</v>
      </c>
      <c r="I6" s="18"/>
      <c r="J6" t="s">
        <v>237</v>
      </c>
    </row>
    <row r="7" spans="1:10" x14ac:dyDescent="0.3">
      <c r="A7" s="41">
        <v>44448</v>
      </c>
      <c r="B7" s="13" t="s">
        <v>238</v>
      </c>
      <c r="C7" s="13" t="s">
        <v>117</v>
      </c>
      <c r="D7" s="13">
        <v>32041968</v>
      </c>
      <c r="E7" t="s">
        <v>239</v>
      </c>
      <c r="F7" s="101">
        <v>8300</v>
      </c>
      <c r="G7" s="18"/>
      <c r="H7" s="18">
        <v>0</v>
      </c>
      <c r="I7" s="18"/>
      <c r="J7" t="s">
        <v>240</v>
      </c>
    </row>
    <row r="8" spans="1:10" x14ac:dyDescent="0.3">
      <c r="A8" s="41">
        <v>44448</v>
      </c>
      <c r="B8" s="13" t="s">
        <v>234</v>
      </c>
      <c r="C8" s="13" t="s">
        <v>117</v>
      </c>
      <c r="D8" s="13">
        <v>32041968</v>
      </c>
      <c r="E8" t="s">
        <v>241</v>
      </c>
      <c r="F8" s="47"/>
      <c r="G8" s="100">
        <v>8300</v>
      </c>
      <c r="H8" s="18">
        <v>8300</v>
      </c>
      <c r="I8" s="18"/>
      <c r="J8" t="s">
        <v>240</v>
      </c>
    </row>
    <row r="9" spans="1:10" x14ac:dyDescent="0.3">
      <c r="A9" s="95" t="s">
        <v>242</v>
      </c>
      <c r="F9" s="47"/>
      <c r="G9" s="18"/>
      <c r="H9" s="18"/>
      <c r="I9" s="18"/>
    </row>
    <row r="10" spans="1:10" x14ac:dyDescent="0.3">
      <c r="A10" s="41">
        <v>44513</v>
      </c>
      <c r="C10" s="96" t="s">
        <v>243</v>
      </c>
      <c r="D10" s="13">
        <v>51022784</v>
      </c>
      <c r="E10" t="s">
        <v>244</v>
      </c>
      <c r="F10" s="47"/>
      <c r="G10" s="18"/>
      <c r="H10" s="18">
        <v>0</v>
      </c>
      <c r="I10" s="18"/>
    </row>
    <row r="11" spans="1:10" x14ac:dyDescent="0.3">
      <c r="A11" s="41">
        <v>44503</v>
      </c>
      <c r="B11" s="13" t="s">
        <v>245</v>
      </c>
      <c r="C11" s="96" t="s">
        <v>243</v>
      </c>
      <c r="D11" s="13">
        <v>51022784</v>
      </c>
      <c r="E11" s="97">
        <v>100970</v>
      </c>
      <c r="F11" s="103">
        <v>5</v>
      </c>
      <c r="G11" s="18"/>
      <c r="H11" s="18">
        <v>0</v>
      </c>
      <c r="I11" s="18"/>
      <c r="J11" t="s">
        <v>249</v>
      </c>
    </row>
    <row r="12" spans="1:10" x14ac:dyDescent="0.3">
      <c r="A12" s="41">
        <v>44453</v>
      </c>
      <c r="B12" s="13" t="s">
        <v>245</v>
      </c>
      <c r="C12" s="96" t="s">
        <v>243</v>
      </c>
      <c r="D12" s="13">
        <v>51022784</v>
      </c>
      <c r="E12" s="97">
        <v>100969</v>
      </c>
      <c r="F12" s="99">
        <v>8340.5499999999993</v>
      </c>
      <c r="G12" s="18"/>
      <c r="H12" s="18">
        <v>5</v>
      </c>
      <c r="I12" s="18"/>
      <c r="J12" t="s">
        <v>250</v>
      </c>
    </row>
    <row r="13" spans="1:10" x14ac:dyDescent="0.3">
      <c r="A13" s="41">
        <v>44406</v>
      </c>
      <c r="B13" s="13" t="s">
        <v>245</v>
      </c>
      <c r="C13" s="96" t="s">
        <v>243</v>
      </c>
      <c r="D13" s="13">
        <v>51022784</v>
      </c>
      <c r="E13" s="97">
        <v>100967</v>
      </c>
      <c r="F13" s="47">
        <v>86.25</v>
      </c>
      <c r="G13" s="18"/>
      <c r="H13" s="18">
        <v>8340.5499999999993</v>
      </c>
      <c r="I13" s="18" t="s">
        <v>175</v>
      </c>
      <c r="J13" t="s">
        <v>217</v>
      </c>
    </row>
    <row r="14" spans="1:10" x14ac:dyDescent="0.3">
      <c r="A14" s="41">
        <v>44307</v>
      </c>
      <c r="B14" s="13" t="s">
        <v>247</v>
      </c>
      <c r="C14" s="96" t="s">
        <v>243</v>
      </c>
      <c r="D14" s="13">
        <v>51022784</v>
      </c>
      <c r="E14" t="s">
        <v>248</v>
      </c>
      <c r="F14" s="47"/>
      <c r="G14" s="18">
        <v>5</v>
      </c>
      <c r="H14" s="18">
        <v>8431.7999999999993</v>
      </c>
      <c r="I14" s="18" t="s">
        <v>179</v>
      </c>
      <c r="J14" t="s">
        <v>246</v>
      </c>
    </row>
    <row r="15" spans="1:10" x14ac:dyDescent="0.3">
      <c r="A15" s="41">
        <v>44271</v>
      </c>
      <c r="B15" s="13" t="s">
        <v>245</v>
      </c>
      <c r="C15" s="96" t="s">
        <v>243</v>
      </c>
      <c r="D15" s="13">
        <v>51022784</v>
      </c>
      <c r="E15" s="97">
        <v>100966</v>
      </c>
      <c r="F15" s="47">
        <v>317.54000000000002</v>
      </c>
      <c r="G15" s="18"/>
      <c r="H15" s="18">
        <v>8426.7999999999993</v>
      </c>
      <c r="I15" s="18" t="s">
        <v>175</v>
      </c>
      <c r="J15" t="s">
        <v>251</v>
      </c>
    </row>
    <row r="16" spans="1:10" x14ac:dyDescent="0.3">
      <c r="A16" s="41">
        <v>44269</v>
      </c>
      <c r="B16" s="13" t="s">
        <v>247</v>
      </c>
      <c r="C16" s="96" t="s">
        <v>243</v>
      </c>
      <c r="D16" s="13">
        <v>51022784</v>
      </c>
      <c r="E16" t="s">
        <v>252</v>
      </c>
      <c r="F16" s="47"/>
      <c r="G16" s="18">
        <v>5</v>
      </c>
      <c r="H16" s="18">
        <v>8744.34</v>
      </c>
      <c r="I16" s="18" t="s">
        <v>179</v>
      </c>
      <c r="J16" t="s">
        <v>180</v>
      </c>
    </row>
    <row r="17" spans="1:9" s="21" customFormat="1" x14ac:dyDescent="0.3">
      <c r="A17" s="42">
        <v>44196</v>
      </c>
      <c r="B17" s="23"/>
      <c r="C17" s="23"/>
      <c r="D17" s="23"/>
      <c r="F17" s="47">
        <f>SUM(F13,F15)</f>
        <v>403.79</v>
      </c>
      <c r="G17" s="18">
        <f>SUM(G14,G16)</f>
        <v>10</v>
      </c>
      <c r="H17" s="43">
        <f>H16-G16</f>
        <v>8739.34</v>
      </c>
      <c r="I17" s="43"/>
    </row>
    <row r="18" spans="1:9" x14ac:dyDescent="0.3">
      <c r="G18" s="18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58" orientation="landscape" horizontalDpi="360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C2F53-4EE9-444F-B7AE-559DDA9058F5}">
  <sheetPr>
    <pageSetUpPr fitToPage="1"/>
  </sheetPr>
  <dimension ref="A1:K15"/>
  <sheetViews>
    <sheetView zoomScaleNormal="100" workbookViewId="0">
      <selection activeCell="F19" sqref="F19"/>
    </sheetView>
  </sheetViews>
  <sheetFormatPr defaultRowHeight="14.4" x14ac:dyDescent="0.3"/>
  <cols>
    <col min="1" max="1" width="15.88671875" style="13" bestFit="1" customWidth="1"/>
    <col min="2" max="2" width="11.21875" style="13" customWidth="1"/>
    <col min="3" max="3" width="9.5546875" style="13" bestFit="1" customWidth="1"/>
    <col min="4" max="4" width="16" style="13" bestFit="1" customWidth="1"/>
    <col min="5" max="5" width="86.109375" bestFit="1" customWidth="1"/>
    <col min="6" max="6" width="13.5546875" style="13" bestFit="1" customWidth="1"/>
    <col min="7" max="7" width="14.109375" style="13" bestFit="1" customWidth="1"/>
    <col min="8" max="8" width="10.21875" style="13" bestFit="1" customWidth="1"/>
    <col min="9" max="9" width="9.44140625" style="13" bestFit="1" customWidth="1"/>
    <col min="10" max="10" width="21.77734375" bestFit="1" customWidth="1"/>
    <col min="11" max="11" width="8.88671875" style="104"/>
  </cols>
  <sheetData>
    <row r="1" spans="1:11" x14ac:dyDescent="0.3">
      <c r="A1" s="44" t="s">
        <v>181</v>
      </c>
      <c r="H1" s="45">
        <f>H2-H14</f>
        <v>1000</v>
      </c>
    </row>
    <row r="2" spans="1:11" s="21" customFormat="1" x14ac:dyDescent="0.3">
      <c r="A2" s="42">
        <v>44196</v>
      </c>
      <c r="B2" s="23"/>
      <c r="C2" s="23"/>
      <c r="D2" s="23"/>
      <c r="F2" s="23"/>
      <c r="G2" s="23"/>
      <c r="H2" s="43">
        <v>8739.34</v>
      </c>
      <c r="I2" s="43"/>
      <c r="K2" s="105"/>
    </row>
    <row r="3" spans="1:11" s="20" customFormat="1" ht="28.8" x14ac:dyDescent="0.3">
      <c r="A3" s="31" t="s">
        <v>108</v>
      </c>
      <c r="B3" s="40" t="s">
        <v>109</v>
      </c>
      <c r="C3" s="31" t="s">
        <v>110</v>
      </c>
      <c r="D3" s="31" t="s">
        <v>111</v>
      </c>
      <c r="E3" s="20" t="s">
        <v>112</v>
      </c>
      <c r="F3" s="46" t="s">
        <v>113</v>
      </c>
      <c r="G3" s="31" t="s">
        <v>114</v>
      </c>
      <c r="H3" s="31" t="s">
        <v>115</v>
      </c>
      <c r="I3" s="163" t="s">
        <v>164</v>
      </c>
      <c r="J3" s="163"/>
      <c r="K3" s="106"/>
    </row>
    <row r="4" spans="1:11" x14ac:dyDescent="0.3">
      <c r="A4" s="41">
        <v>44089</v>
      </c>
      <c r="B4" s="13" t="s">
        <v>245</v>
      </c>
      <c r="C4" s="96" t="s">
        <v>243</v>
      </c>
      <c r="D4" s="13">
        <v>51022784</v>
      </c>
      <c r="E4" s="97">
        <v>100965</v>
      </c>
      <c r="F4" s="47">
        <v>100</v>
      </c>
      <c r="G4" s="18"/>
      <c r="H4" s="18">
        <v>8739.34</v>
      </c>
      <c r="I4" s="18" t="s">
        <v>171</v>
      </c>
      <c r="J4" t="s">
        <v>254</v>
      </c>
    </row>
    <row r="5" spans="1:11" x14ac:dyDescent="0.3">
      <c r="A5" s="41">
        <v>43923</v>
      </c>
      <c r="B5" s="13" t="s">
        <v>247</v>
      </c>
      <c r="C5" s="96" t="s">
        <v>243</v>
      </c>
      <c r="D5" s="13">
        <v>51022784</v>
      </c>
      <c r="E5" s="97" t="s">
        <v>255</v>
      </c>
      <c r="F5" s="47"/>
      <c r="G5" s="18">
        <v>165</v>
      </c>
      <c r="H5" s="18">
        <f>H4+F4</f>
        <v>8839.34</v>
      </c>
      <c r="I5" s="18" t="s">
        <v>179</v>
      </c>
      <c r="J5" t="s">
        <v>180</v>
      </c>
      <c r="K5" s="104">
        <v>1</v>
      </c>
    </row>
    <row r="6" spans="1:11" x14ac:dyDescent="0.3">
      <c r="A6" s="41">
        <v>43917</v>
      </c>
      <c r="B6" s="13" t="s">
        <v>247</v>
      </c>
      <c r="C6" s="96" t="s">
        <v>243</v>
      </c>
      <c r="D6" s="13">
        <v>51022784</v>
      </c>
      <c r="E6" s="97" t="s">
        <v>256</v>
      </c>
      <c r="F6" s="47"/>
      <c r="G6" s="18">
        <v>50</v>
      </c>
      <c r="H6" s="18">
        <f>H5-G5</f>
        <v>8674.34</v>
      </c>
      <c r="I6" s="18" t="s">
        <v>179</v>
      </c>
      <c r="J6" t="s">
        <v>180</v>
      </c>
      <c r="K6" s="104">
        <v>1</v>
      </c>
    </row>
    <row r="7" spans="1:11" x14ac:dyDescent="0.3">
      <c r="A7" s="41">
        <v>43901</v>
      </c>
      <c r="B7" s="13" t="s">
        <v>247</v>
      </c>
      <c r="C7" s="96" t="s">
        <v>243</v>
      </c>
      <c r="D7" s="13">
        <v>51022784</v>
      </c>
      <c r="E7" s="97" t="s">
        <v>257</v>
      </c>
      <c r="F7" s="47"/>
      <c r="G7" s="18">
        <v>65</v>
      </c>
      <c r="H7" s="18">
        <f>H6-G6</f>
        <v>8624.34</v>
      </c>
      <c r="I7" s="18" t="s">
        <v>179</v>
      </c>
      <c r="J7" t="s">
        <v>180</v>
      </c>
      <c r="K7" s="104">
        <v>1</v>
      </c>
    </row>
    <row r="8" spans="1:11" x14ac:dyDescent="0.3">
      <c r="A8" s="41">
        <v>43899</v>
      </c>
      <c r="B8" s="13" t="s">
        <v>247</v>
      </c>
      <c r="C8" s="96" t="s">
        <v>243</v>
      </c>
      <c r="D8" s="13">
        <v>51022784</v>
      </c>
      <c r="E8" t="s">
        <v>258</v>
      </c>
      <c r="F8" s="47"/>
      <c r="G8" s="18">
        <v>200</v>
      </c>
      <c r="H8" s="18">
        <f>H7-G7</f>
        <v>8559.34</v>
      </c>
      <c r="I8" s="18" t="s">
        <v>179</v>
      </c>
      <c r="J8" t="s">
        <v>265</v>
      </c>
      <c r="K8" s="104">
        <v>2</v>
      </c>
    </row>
    <row r="9" spans="1:11" x14ac:dyDescent="0.3">
      <c r="A9" s="41">
        <v>43885</v>
      </c>
      <c r="B9" s="13" t="s">
        <v>247</v>
      </c>
      <c r="C9" s="96" t="s">
        <v>243</v>
      </c>
      <c r="D9" s="13">
        <v>51022784</v>
      </c>
      <c r="E9" s="97" t="s">
        <v>258</v>
      </c>
      <c r="F9" s="47"/>
      <c r="G9" s="18">
        <v>220</v>
      </c>
      <c r="H9" s="18">
        <f>H8-G8</f>
        <v>8359.34</v>
      </c>
      <c r="I9" s="18" t="s">
        <v>179</v>
      </c>
      <c r="J9" t="s">
        <v>264</v>
      </c>
      <c r="K9" s="104">
        <v>3</v>
      </c>
    </row>
    <row r="10" spans="1:11" x14ac:dyDescent="0.3">
      <c r="A10" s="41">
        <v>43872</v>
      </c>
      <c r="B10" s="13" t="s">
        <v>247</v>
      </c>
      <c r="C10" s="96" t="s">
        <v>243</v>
      </c>
      <c r="D10" s="13">
        <v>51022784</v>
      </c>
      <c r="E10" t="s">
        <v>259</v>
      </c>
      <c r="F10" s="47"/>
      <c r="G10" s="18">
        <v>65</v>
      </c>
      <c r="H10" s="18">
        <f>H9-G9</f>
        <v>8139.34</v>
      </c>
      <c r="I10" s="18" t="s">
        <v>179</v>
      </c>
      <c r="J10" t="s">
        <v>180</v>
      </c>
      <c r="K10" s="104">
        <v>1</v>
      </c>
    </row>
    <row r="11" spans="1:11" x14ac:dyDescent="0.3">
      <c r="A11" s="41">
        <v>43860</v>
      </c>
      <c r="B11" s="13" t="s">
        <v>247</v>
      </c>
      <c r="C11" s="96" t="s">
        <v>243</v>
      </c>
      <c r="D11" s="13">
        <v>51022784</v>
      </c>
      <c r="E11" s="97" t="s">
        <v>260</v>
      </c>
      <c r="F11" s="47"/>
      <c r="G11" s="18">
        <v>50</v>
      </c>
      <c r="H11" s="18">
        <f t="shared" ref="H11:H14" si="0">H10-G10</f>
        <v>8074.34</v>
      </c>
      <c r="I11" s="18" t="s">
        <v>179</v>
      </c>
      <c r="J11" t="s">
        <v>180</v>
      </c>
      <c r="K11" s="104">
        <v>1</v>
      </c>
    </row>
    <row r="12" spans="1:11" x14ac:dyDescent="0.3">
      <c r="A12" s="41">
        <v>43859</v>
      </c>
      <c r="B12" s="13" t="s">
        <v>247</v>
      </c>
      <c r="C12" s="96" t="s">
        <v>243</v>
      </c>
      <c r="D12" s="13">
        <v>51022784</v>
      </c>
      <c r="E12" t="s">
        <v>261</v>
      </c>
      <c r="F12" s="47"/>
      <c r="G12" s="18">
        <v>150</v>
      </c>
      <c r="H12" s="18">
        <f t="shared" si="0"/>
        <v>8024.34</v>
      </c>
      <c r="I12" s="18" t="s">
        <v>179</v>
      </c>
      <c r="J12" t="s">
        <v>180</v>
      </c>
      <c r="K12" s="104">
        <v>1</v>
      </c>
    </row>
    <row r="13" spans="1:11" x14ac:dyDescent="0.3">
      <c r="A13" s="41">
        <v>43842</v>
      </c>
      <c r="B13" s="13" t="s">
        <v>247</v>
      </c>
      <c r="C13" s="96" t="s">
        <v>243</v>
      </c>
      <c r="D13" s="13">
        <v>51022784</v>
      </c>
      <c r="E13" s="97" t="s">
        <v>262</v>
      </c>
      <c r="F13" s="47"/>
      <c r="G13" s="18">
        <v>135</v>
      </c>
      <c r="H13" s="18">
        <f t="shared" si="0"/>
        <v>7874.34</v>
      </c>
      <c r="I13" s="18" t="s">
        <v>179</v>
      </c>
      <c r="J13" t="s">
        <v>180</v>
      </c>
      <c r="K13" s="104">
        <v>1</v>
      </c>
    </row>
    <row r="14" spans="1:11" s="21" customFormat="1" x14ac:dyDescent="0.3">
      <c r="A14" s="42">
        <v>43830</v>
      </c>
      <c r="B14" s="23"/>
      <c r="C14" s="23"/>
      <c r="D14" s="23"/>
      <c r="F14" s="18">
        <f>SUM(F4:F13)</f>
        <v>100</v>
      </c>
      <c r="G14" s="18">
        <f>SUM(G4:G13)</f>
        <v>1100</v>
      </c>
      <c r="H14" s="43">
        <f t="shared" si="0"/>
        <v>7739.34</v>
      </c>
      <c r="I14" s="43"/>
      <c r="K14" s="105">
        <f>SUM(K5:K13)</f>
        <v>12</v>
      </c>
    </row>
    <row r="15" spans="1:11" x14ac:dyDescent="0.3">
      <c r="G15" s="18"/>
    </row>
  </sheetData>
  <mergeCells count="1">
    <mergeCell ref="I3:J3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0" orientation="landscape" horizontalDpi="360" verticalDpi="36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07CBB-AF34-48E6-91C2-7E1BBD03A52E}">
  <sheetPr>
    <pageSetUpPr fitToPage="1"/>
  </sheetPr>
  <dimension ref="A1:K22"/>
  <sheetViews>
    <sheetView workbookViewId="0"/>
  </sheetViews>
  <sheetFormatPr defaultRowHeight="14.4" x14ac:dyDescent="0.3"/>
  <cols>
    <col min="1" max="1" width="15.88671875" style="13" bestFit="1" customWidth="1"/>
    <col min="2" max="2" width="11.21875" style="13" customWidth="1"/>
    <col min="3" max="3" width="9.5546875" style="13" bestFit="1" customWidth="1"/>
    <col min="4" max="4" width="16" style="13" bestFit="1" customWidth="1"/>
    <col min="5" max="5" width="86.109375" bestFit="1" customWidth="1"/>
    <col min="6" max="6" width="13.5546875" style="13" bestFit="1" customWidth="1"/>
    <col min="7" max="7" width="14.109375" style="13" bestFit="1" customWidth="1"/>
    <col min="8" max="8" width="10.21875" style="13" bestFit="1" customWidth="1"/>
    <col min="9" max="9" width="9.44140625" style="13" bestFit="1" customWidth="1"/>
    <col min="10" max="10" width="36" bestFit="1" customWidth="1"/>
    <col min="11" max="11" width="8.88671875" style="104"/>
  </cols>
  <sheetData>
    <row r="1" spans="1:11" x14ac:dyDescent="0.3">
      <c r="A1" s="44" t="s">
        <v>181</v>
      </c>
      <c r="H1" s="45">
        <f>H2-H21</f>
        <v>115.22999999999956</v>
      </c>
    </row>
    <row r="2" spans="1:11" s="21" customFormat="1" x14ac:dyDescent="0.3">
      <c r="A2" s="42">
        <v>43830</v>
      </c>
      <c r="B2" s="23"/>
      <c r="C2" s="23"/>
      <c r="D2" s="23"/>
      <c r="F2" s="23"/>
      <c r="G2" s="23"/>
      <c r="H2" s="43">
        <f>'Statement Entries 010120-311220'!H14</f>
        <v>7739.34</v>
      </c>
      <c r="I2" s="43"/>
      <c r="K2" s="105"/>
    </row>
    <row r="3" spans="1:11" s="20" customFormat="1" ht="28.8" x14ac:dyDescent="0.3">
      <c r="A3" s="31" t="s">
        <v>108</v>
      </c>
      <c r="B3" s="40" t="s">
        <v>109</v>
      </c>
      <c r="C3" s="31" t="s">
        <v>110</v>
      </c>
      <c r="D3" s="31" t="s">
        <v>111</v>
      </c>
      <c r="E3" s="20" t="s">
        <v>112</v>
      </c>
      <c r="F3" s="46" t="s">
        <v>113</v>
      </c>
      <c r="G3" s="31" t="s">
        <v>114</v>
      </c>
      <c r="H3" s="31" t="s">
        <v>115</v>
      </c>
      <c r="I3" s="163" t="s">
        <v>164</v>
      </c>
      <c r="J3" s="163"/>
      <c r="K3" s="106"/>
    </row>
    <row r="4" spans="1:11" x14ac:dyDescent="0.3">
      <c r="A4" s="41">
        <v>43804</v>
      </c>
      <c r="B4" s="13" t="s">
        <v>245</v>
      </c>
      <c r="C4" s="96" t="s">
        <v>243</v>
      </c>
      <c r="D4" s="13">
        <v>51022784</v>
      </c>
      <c r="E4" s="97">
        <v>100964</v>
      </c>
      <c r="F4" s="47">
        <v>138.63</v>
      </c>
      <c r="G4" s="18"/>
      <c r="H4" s="18">
        <f>H2</f>
        <v>7739.34</v>
      </c>
      <c r="I4" s="18" t="s">
        <v>168</v>
      </c>
      <c r="J4" t="s">
        <v>273</v>
      </c>
    </row>
    <row r="5" spans="1:11" x14ac:dyDescent="0.3">
      <c r="A5" s="41">
        <v>43728</v>
      </c>
      <c r="B5" s="13" t="s">
        <v>247</v>
      </c>
      <c r="C5" s="96" t="s">
        <v>243</v>
      </c>
      <c r="D5" s="13">
        <v>51022784</v>
      </c>
      <c r="E5" s="97" t="s">
        <v>258</v>
      </c>
      <c r="F5" s="47"/>
      <c r="G5" s="18">
        <v>331</v>
      </c>
      <c r="H5" s="18">
        <f>H4+F4</f>
        <v>7877.97</v>
      </c>
      <c r="I5" s="18" t="s">
        <v>169</v>
      </c>
      <c r="J5" t="s">
        <v>279</v>
      </c>
    </row>
    <row r="6" spans="1:11" x14ac:dyDescent="0.3">
      <c r="A6" s="41">
        <v>43721</v>
      </c>
      <c r="B6" s="13" t="s">
        <v>245</v>
      </c>
      <c r="C6" s="96" t="s">
        <v>243</v>
      </c>
      <c r="D6" s="13">
        <v>51022784</v>
      </c>
      <c r="E6" s="97">
        <v>100963</v>
      </c>
      <c r="F6" s="47">
        <v>374.22</v>
      </c>
      <c r="H6" s="18">
        <f>H5-G5</f>
        <v>7546.97</v>
      </c>
      <c r="I6" s="18" t="s">
        <v>168</v>
      </c>
      <c r="J6" t="s">
        <v>271</v>
      </c>
    </row>
    <row r="7" spans="1:11" x14ac:dyDescent="0.3">
      <c r="A7" s="41">
        <v>43721</v>
      </c>
      <c r="B7" s="13" t="s">
        <v>245</v>
      </c>
      <c r="C7" s="96" t="s">
        <v>243</v>
      </c>
      <c r="D7" s="13">
        <v>51022784</v>
      </c>
      <c r="E7" s="97">
        <v>100962</v>
      </c>
      <c r="F7" s="47">
        <v>374.22</v>
      </c>
      <c r="H7" s="18">
        <f>H6+F6</f>
        <v>7921.1900000000005</v>
      </c>
      <c r="I7" s="18" t="s">
        <v>168</v>
      </c>
      <c r="J7" t="s">
        <v>272</v>
      </c>
    </row>
    <row r="8" spans="1:11" x14ac:dyDescent="0.3">
      <c r="A8" s="41">
        <v>43692</v>
      </c>
      <c r="B8" s="13" t="s">
        <v>245</v>
      </c>
      <c r="C8" s="96" t="s">
        <v>243</v>
      </c>
      <c r="D8" s="13">
        <v>51022784</v>
      </c>
      <c r="E8" s="97">
        <v>100961</v>
      </c>
      <c r="F8" s="47">
        <v>481.5</v>
      </c>
      <c r="H8" s="18">
        <f>H7+F7</f>
        <v>8295.41</v>
      </c>
      <c r="I8" s="18" t="s">
        <v>168</v>
      </c>
      <c r="J8" t="s">
        <v>274</v>
      </c>
    </row>
    <row r="9" spans="1:11" x14ac:dyDescent="0.3">
      <c r="A9" s="41">
        <v>43672</v>
      </c>
      <c r="B9" s="13" t="s">
        <v>245</v>
      </c>
      <c r="C9" s="96" t="s">
        <v>243</v>
      </c>
      <c r="D9" s="13">
        <v>51022784</v>
      </c>
      <c r="E9" s="97">
        <v>100958</v>
      </c>
      <c r="F9" s="47">
        <v>85.7</v>
      </c>
      <c r="G9" s="18"/>
      <c r="H9" s="18">
        <f>H8+F8</f>
        <v>8776.91</v>
      </c>
      <c r="I9" s="18" t="s">
        <v>168</v>
      </c>
      <c r="J9" t="s">
        <v>275</v>
      </c>
    </row>
    <row r="10" spans="1:11" x14ac:dyDescent="0.3">
      <c r="A10" s="41">
        <v>43650</v>
      </c>
      <c r="B10" s="13" t="s">
        <v>245</v>
      </c>
      <c r="C10" s="96" t="s">
        <v>243</v>
      </c>
      <c r="D10" s="13">
        <v>51022784</v>
      </c>
      <c r="E10" s="97">
        <v>100959</v>
      </c>
      <c r="F10" s="47">
        <v>141</v>
      </c>
      <c r="G10" s="18"/>
      <c r="H10" s="18">
        <f>H9+F9</f>
        <v>8862.61</v>
      </c>
      <c r="I10" s="18" t="s">
        <v>168</v>
      </c>
      <c r="J10" t="s">
        <v>273</v>
      </c>
    </row>
    <row r="11" spans="1:11" x14ac:dyDescent="0.3">
      <c r="A11" s="41">
        <v>43649</v>
      </c>
      <c r="B11" s="13" t="s">
        <v>269</v>
      </c>
      <c r="C11" s="96" t="s">
        <v>243</v>
      </c>
      <c r="D11" s="13">
        <v>51022784</v>
      </c>
      <c r="E11" s="97" t="s">
        <v>268</v>
      </c>
      <c r="F11" s="47"/>
      <c r="G11" s="18">
        <v>255</v>
      </c>
      <c r="H11" s="18">
        <f>H10+F10</f>
        <v>9003.61</v>
      </c>
      <c r="I11" s="18" t="s">
        <v>169</v>
      </c>
      <c r="J11" t="s">
        <v>280</v>
      </c>
    </row>
    <row r="12" spans="1:11" x14ac:dyDescent="0.3">
      <c r="A12" s="41">
        <v>43641</v>
      </c>
      <c r="B12" s="13" t="s">
        <v>245</v>
      </c>
      <c r="C12" s="96" t="s">
        <v>243</v>
      </c>
      <c r="D12" s="13">
        <v>51022784</v>
      </c>
      <c r="E12" s="97">
        <v>100960</v>
      </c>
      <c r="F12" s="47">
        <v>277.5</v>
      </c>
      <c r="G12" s="18"/>
      <c r="H12" s="18">
        <f>H11-G11</f>
        <v>8748.61</v>
      </c>
      <c r="I12" s="18" t="s">
        <v>168</v>
      </c>
      <c r="J12" t="s">
        <v>276</v>
      </c>
    </row>
    <row r="13" spans="1:11" x14ac:dyDescent="0.3">
      <c r="A13" s="41">
        <v>43546</v>
      </c>
      <c r="B13" s="13" t="s">
        <v>247</v>
      </c>
      <c r="C13" s="96" t="s">
        <v>243</v>
      </c>
      <c r="D13" s="13">
        <v>51022784</v>
      </c>
      <c r="E13" s="97" t="s">
        <v>258</v>
      </c>
      <c r="F13" s="47"/>
      <c r="G13" s="18">
        <v>50</v>
      </c>
      <c r="H13" s="18">
        <f>H12+F12</f>
        <v>9026.11</v>
      </c>
      <c r="I13" s="18" t="s">
        <v>179</v>
      </c>
      <c r="J13" t="s">
        <v>277</v>
      </c>
      <c r="K13" s="104">
        <v>1</v>
      </c>
    </row>
    <row r="14" spans="1:11" x14ac:dyDescent="0.3">
      <c r="A14" s="41">
        <v>43539</v>
      </c>
      <c r="B14" s="13" t="s">
        <v>247</v>
      </c>
      <c r="C14" s="96" t="s">
        <v>243</v>
      </c>
      <c r="D14" s="13">
        <v>51022784</v>
      </c>
      <c r="E14" s="97" t="s">
        <v>258</v>
      </c>
      <c r="F14" s="47"/>
      <c r="G14" s="18">
        <v>520</v>
      </c>
      <c r="H14" s="18">
        <f>H13-G13</f>
        <v>8976.11</v>
      </c>
      <c r="I14" s="18" t="s">
        <v>179</v>
      </c>
      <c r="J14" t="s">
        <v>278</v>
      </c>
      <c r="K14" s="104">
        <v>9</v>
      </c>
    </row>
    <row r="15" spans="1:11" x14ac:dyDescent="0.3">
      <c r="A15" s="41">
        <v>43539</v>
      </c>
      <c r="B15" s="13" t="s">
        <v>247</v>
      </c>
      <c r="C15" s="96" t="s">
        <v>243</v>
      </c>
      <c r="D15" s="13">
        <v>51022784</v>
      </c>
      <c r="E15" s="97" t="s">
        <v>258</v>
      </c>
      <c r="F15" s="47"/>
      <c r="G15" s="18">
        <v>165</v>
      </c>
      <c r="H15" s="18">
        <f t="shared" ref="H15:H21" si="0">H14-G14</f>
        <v>8456.11</v>
      </c>
      <c r="I15" s="18" t="s">
        <v>179</v>
      </c>
      <c r="J15" t="s">
        <v>264</v>
      </c>
      <c r="K15" s="104">
        <v>3</v>
      </c>
    </row>
    <row r="16" spans="1:11" x14ac:dyDescent="0.3">
      <c r="A16" s="41">
        <v>43539</v>
      </c>
      <c r="B16" s="13" t="s">
        <v>247</v>
      </c>
      <c r="C16" s="96" t="s">
        <v>243</v>
      </c>
      <c r="D16" s="13">
        <v>51022784</v>
      </c>
      <c r="E16" s="97" t="s">
        <v>258</v>
      </c>
      <c r="F16" s="47"/>
      <c r="G16" s="18">
        <v>116</v>
      </c>
      <c r="H16" s="18">
        <f t="shared" si="0"/>
        <v>8291.11</v>
      </c>
      <c r="I16" s="18" t="s">
        <v>179</v>
      </c>
      <c r="J16" t="s">
        <v>277</v>
      </c>
      <c r="K16" s="104">
        <v>1</v>
      </c>
    </row>
    <row r="17" spans="1:11" x14ac:dyDescent="0.3">
      <c r="A17" s="41">
        <v>43539</v>
      </c>
      <c r="B17" s="13" t="s">
        <v>247</v>
      </c>
      <c r="C17" s="96" t="s">
        <v>243</v>
      </c>
      <c r="D17" s="13">
        <v>51022784</v>
      </c>
      <c r="E17" s="97" t="s">
        <v>258</v>
      </c>
      <c r="F17" s="47"/>
      <c r="G17" s="18">
        <v>186</v>
      </c>
      <c r="H17" s="18">
        <f t="shared" si="0"/>
        <v>8175.1100000000006</v>
      </c>
      <c r="I17" s="18" t="s">
        <v>179</v>
      </c>
      <c r="J17" t="s">
        <v>277</v>
      </c>
      <c r="K17" s="104">
        <v>1</v>
      </c>
    </row>
    <row r="18" spans="1:11" x14ac:dyDescent="0.3">
      <c r="A18" s="41">
        <v>43504</v>
      </c>
      <c r="B18" s="13" t="s">
        <v>247</v>
      </c>
      <c r="C18" s="96" t="s">
        <v>243</v>
      </c>
      <c r="D18" s="13">
        <v>51022784</v>
      </c>
      <c r="E18" s="97" t="s">
        <v>270</v>
      </c>
      <c r="F18" s="47"/>
      <c r="G18" s="18">
        <v>150</v>
      </c>
      <c r="H18" s="18">
        <f t="shared" si="0"/>
        <v>7989.1100000000006</v>
      </c>
      <c r="I18" s="18" t="s">
        <v>179</v>
      </c>
      <c r="J18" t="s">
        <v>277</v>
      </c>
      <c r="K18" s="104">
        <v>1</v>
      </c>
    </row>
    <row r="19" spans="1:11" x14ac:dyDescent="0.3">
      <c r="A19" s="41">
        <v>43498</v>
      </c>
      <c r="B19" s="13" t="s">
        <v>247</v>
      </c>
      <c r="C19" s="96" t="s">
        <v>243</v>
      </c>
      <c r="D19" s="13">
        <v>51022784</v>
      </c>
      <c r="E19" s="97" t="s">
        <v>255</v>
      </c>
      <c r="F19" s="47"/>
      <c r="G19" s="18">
        <v>165</v>
      </c>
      <c r="H19" s="18">
        <f t="shared" si="0"/>
        <v>7839.1100000000006</v>
      </c>
      <c r="I19" s="18" t="s">
        <v>179</v>
      </c>
      <c r="J19" t="s">
        <v>277</v>
      </c>
      <c r="K19" s="104">
        <v>1</v>
      </c>
    </row>
    <row r="20" spans="1:11" x14ac:dyDescent="0.3">
      <c r="A20" s="41">
        <v>43489</v>
      </c>
      <c r="B20" s="13" t="s">
        <v>247</v>
      </c>
      <c r="C20" s="96" t="s">
        <v>243</v>
      </c>
      <c r="D20" s="13">
        <v>51022784</v>
      </c>
      <c r="E20" s="97" t="s">
        <v>260</v>
      </c>
      <c r="F20" s="47"/>
      <c r="G20" s="18">
        <v>50</v>
      </c>
      <c r="H20" s="18">
        <f t="shared" si="0"/>
        <v>7674.1100000000006</v>
      </c>
      <c r="I20" s="18" t="s">
        <v>179</v>
      </c>
      <c r="J20" t="s">
        <v>277</v>
      </c>
      <c r="K20" s="104">
        <v>1</v>
      </c>
    </row>
    <row r="21" spans="1:11" s="21" customFormat="1" x14ac:dyDescent="0.3">
      <c r="A21" s="42">
        <v>43465</v>
      </c>
      <c r="B21" s="23"/>
      <c r="C21" s="23"/>
      <c r="D21" s="23"/>
      <c r="F21" s="18">
        <f>SUM(F4:F20)</f>
        <v>1872.7700000000002</v>
      </c>
      <c r="G21" s="18">
        <f>SUM(G4:G20)</f>
        <v>1988</v>
      </c>
      <c r="H21" s="43">
        <f t="shared" si="0"/>
        <v>7624.1100000000006</v>
      </c>
      <c r="I21" s="43"/>
      <c r="K21" s="105">
        <f>SUM(K13:K20)</f>
        <v>18</v>
      </c>
    </row>
    <row r="22" spans="1:11" x14ac:dyDescent="0.3">
      <c r="G22" s="18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57" orientation="landscape" horizontalDpi="360" verticalDpi="360" r:id="rId1"/>
  <ignoredErrors>
    <ignoredError sqref="H6 H12:H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20FA6-9261-41DF-879A-94D07E627D7D}">
  <sheetPr>
    <pageSetUpPr fitToPage="1"/>
  </sheetPr>
  <dimension ref="B1:P48"/>
  <sheetViews>
    <sheetView showGridLines="0" tabSelected="1" workbookViewId="0">
      <selection activeCell="B1" sqref="B1:J1"/>
    </sheetView>
  </sheetViews>
  <sheetFormatPr defaultRowHeight="15.6" x14ac:dyDescent="0.3"/>
  <cols>
    <col min="1" max="1" width="4.88671875" style="53" customWidth="1"/>
    <col min="2" max="2" width="39.5546875" style="53" bestFit="1" customWidth="1"/>
    <col min="3" max="5" width="8.88671875" style="53" customWidth="1"/>
    <col min="6" max="6" width="8.88671875" style="51" customWidth="1"/>
    <col min="7" max="7" width="8.88671875" style="51"/>
    <col min="8" max="16384" width="8.88671875" style="53"/>
  </cols>
  <sheetData>
    <row r="1" spans="2:16" s="85" customFormat="1" ht="21" x14ac:dyDescent="0.35">
      <c r="B1" s="155" t="s">
        <v>208</v>
      </c>
      <c r="C1" s="155"/>
      <c r="D1" s="155"/>
      <c r="E1" s="155"/>
      <c r="F1" s="155"/>
      <c r="G1" s="155"/>
      <c r="H1" s="155"/>
      <c r="I1" s="155"/>
      <c r="J1" s="155"/>
    </row>
    <row r="2" spans="2:16" s="85" customFormat="1" ht="18" x14ac:dyDescent="0.35">
      <c r="F2" s="86"/>
      <c r="G2" s="86"/>
    </row>
    <row r="3" spans="2:16" s="85" customFormat="1" ht="18" x14ac:dyDescent="0.35">
      <c r="B3" s="156" t="s">
        <v>209</v>
      </c>
      <c r="C3" s="156"/>
      <c r="D3" s="156"/>
      <c r="E3" s="156"/>
      <c r="F3" s="156"/>
      <c r="G3" s="156"/>
      <c r="H3" s="156"/>
      <c r="I3" s="156"/>
      <c r="J3" s="156"/>
    </row>
    <row r="4" spans="2:16" s="85" customFormat="1" ht="18" x14ac:dyDescent="0.35">
      <c r="B4" s="156" t="s">
        <v>441</v>
      </c>
      <c r="C4" s="156"/>
      <c r="D4" s="156"/>
      <c r="E4" s="156"/>
      <c r="F4" s="156"/>
      <c r="G4" s="156"/>
      <c r="H4" s="156"/>
      <c r="I4" s="156"/>
      <c r="J4" s="156"/>
    </row>
    <row r="5" spans="2:16" ht="6" customHeight="1" x14ac:dyDescent="0.3"/>
    <row r="6" spans="2:16" x14ac:dyDescent="0.3">
      <c r="C6" s="154" t="s">
        <v>443</v>
      </c>
      <c r="D6" s="154"/>
      <c r="F6" s="153" t="s">
        <v>223</v>
      </c>
      <c r="G6" s="153"/>
      <c r="I6" s="153" t="s">
        <v>253</v>
      </c>
      <c r="J6" s="153"/>
      <c r="L6" s="153" t="s">
        <v>263</v>
      </c>
      <c r="M6" s="153"/>
      <c r="O6" s="153" t="s">
        <v>267</v>
      </c>
      <c r="P6" s="153"/>
    </row>
    <row r="7" spans="2:16" x14ac:dyDescent="0.3">
      <c r="C7" s="107" t="s">
        <v>216</v>
      </c>
      <c r="D7" s="107" t="s">
        <v>216</v>
      </c>
      <c r="F7" s="78" t="s">
        <v>216</v>
      </c>
      <c r="G7" s="78" t="s">
        <v>216</v>
      </c>
      <c r="I7" s="78" t="s">
        <v>216</v>
      </c>
      <c r="J7" s="78" t="s">
        <v>216</v>
      </c>
      <c r="L7" s="78" t="s">
        <v>216</v>
      </c>
      <c r="M7" s="78" t="s">
        <v>216</v>
      </c>
      <c r="O7" s="78" t="s">
        <v>216</v>
      </c>
      <c r="P7" s="78" t="s">
        <v>216</v>
      </c>
    </row>
    <row r="8" spans="2:16" x14ac:dyDescent="0.3">
      <c r="B8" s="48" t="s">
        <v>210</v>
      </c>
      <c r="C8" s="108"/>
      <c r="D8" s="108"/>
      <c r="E8" s="48"/>
      <c r="I8" s="51"/>
      <c r="J8" s="51"/>
      <c r="L8" s="51"/>
      <c r="M8" s="51"/>
      <c r="O8" s="51"/>
      <c r="P8" s="51"/>
    </row>
    <row r="9" spans="2:16" x14ac:dyDescent="0.3">
      <c r="B9" s="54" t="s">
        <v>212</v>
      </c>
      <c r="C9" s="109">
        <f>'2023 Accounts Summary'!N3</f>
        <v>119</v>
      </c>
      <c r="D9" s="110"/>
      <c r="E9" s="54"/>
      <c r="F9" s="92">
        <f>'2022 Accounts Summary'!N4</f>
        <v>70</v>
      </c>
      <c r="G9" s="87"/>
      <c r="I9" s="92">
        <f>SUM('Statement Entries 010121-311221'!G14,'Statement Entries 010121-311221'!G16)</f>
        <v>10</v>
      </c>
      <c r="J9" s="87"/>
      <c r="L9" s="92">
        <f>'Statement Entries 010120-311220'!K14*5</f>
        <v>60</v>
      </c>
      <c r="M9" s="87"/>
      <c r="O9" s="92">
        <f>'Statement Entries 010119-211219'!K21*5</f>
        <v>90</v>
      </c>
      <c r="P9" s="87"/>
    </row>
    <row r="10" spans="2:16" x14ac:dyDescent="0.3">
      <c r="B10" s="54" t="s">
        <v>213</v>
      </c>
      <c r="C10" s="109">
        <f>'2023 Accounts Summary'!N7</f>
        <v>1880</v>
      </c>
      <c r="D10" s="110"/>
      <c r="E10" s="54"/>
      <c r="F10" s="92">
        <f>'2022 Accounts Summary'!N7</f>
        <v>860</v>
      </c>
      <c r="G10" s="87"/>
      <c r="I10" s="92">
        <f>'2022 Accounts Summary'!Q7</f>
        <v>0</v>
      </c>
      <c r="J10" s="87"/>
      <c r="L10" s="92">
        <f>SUM('Statement Entries 010120-311220'!G5:G13)-'2023 Financial Statements'!L9</f>
        <v>1040</v>
      </c>
      <c r="M10" s="87"/>
      <c r="O10" s="92">
        <f>SUM('Statement Entries 010119-211219'!G13:G20)-'2023 Financial Statements'!O9</f>
        <v>1312</v>
      </c>
      <c r="P10" s="87"/>
    </row>
    <row r="11" spans="2:16" x14ac:dyDescent="0.3">
      <c r="B11" s="54" t="s">
        <v>214</v>
      </c>
      <c r="C11" s="109">
        <f>'2023 Accounts Summary'!N8</f>
        <v>1229.26</v>
      </c>
      <c r="D11" s="110"/>
      <c r="E11" s="54"/>
      <c r="F11" s="92">
        <f>'2022 Accounts Summary'!N8</f>
        <v>537.79999999999995</v>
      </c>
      <c r="G11" s="87"/>
      <c r="I11" s="92">
        <f>'2022 Accounts Summary'!Q8</f>
        <v>0</v>
      </c>
      <c r="J11" s="87"/>
      <c r="L11" s="92">
        <f>'2022 Accounts Summary'!T8</f>
        <v>0</v>
      </c>
      <c r="M11" s="87"/>
      <c r="O11" s="92">
        <f>SUM('Statement Entries 010119-211219'!G5,'Statement Entries 010119-211219'!G11)</f>
        <v>586</v>
      </c>
      <c r="P11" s="87"/>
    </row>
    <row r="12" spans="2:16" x14ac:dyDescent="0.3">
      <c r="B12" s="54" t="s">
        <v>215</v>
      </c>
      <c r="C12" s="110">
        <f>'2023 Accounts Summary'!N12</f>
        <v>-25</v>
      </c>
      <c r="D12" s="110"/>
      <c r="E12" s="54"/>
      <c r="F12" s="87">
        <f>'2022 Accounts Summary'!N12</f>
        <v>-755</v>
      </c>
      <c r="G12" s="87"/>
      <c r="I12" s="92">
        <f>'2022 Accounts Summary'!Q12</f>
        <v>0</v>
      </c>
      <c r="J12" s="87"/>
      <c r="L12" s="92">
        <f>'2022 Accounts Summary'!T12</f>
        <v>0</v>
      </c>
      <c r="M12" s="87"/>
      <c r="O12" s="92">
        <f>'2022 Accounts Summary'!W12</f>
        <v>0</v>
      </c>
      <c r="P12" s="87"/>
    </row>
    <row r="13" spans="2:16" x14ac:dyDescent="0.3">
      <c r="C13" s="111"/>
      <c r="D13" s="112">
        <f>SUM(C9:C12)</f>
        <v>3203.26</v>
      </c>
      <c r="F13" s="88"/>
      <c r="G13" s="91">
        <f>SUM(F9:F12)</f>
        <v>712.8</v>
      </c>
      <c r="I13" s="88"/>
      <c r="J13" s="91">
        <f>SUM(I9:I12)</f>
        <v>10</v>
      </c>
      <c r="L13" s="88"/>
      <c r="M13" s="91">
        <f>SUM(L9:L12)</f>
        <v>1100</v>
      </c>
      <c r="O13" s="88"/>
      <c r="P13" s="91">
        <f>SUM(O9:O12)</f>
        <v>1988</v>
      </c>
    </row>
    <row r="14" spans="2:16" ht="6" customHeight="1" x14ac:dyDescent="0.3">
      <c r="C14" s="110"/>
      <c r="D14" s="110"/>
      <c r="F14" s="87"/>
      <c r="G14" s="87"/>
      <c r="I14" s="87"/>
      <c r="J14" s="87"/>
      <c r="L14" s="87"/>
      <c r="M14" s="87"/>
      <c r="O14" s="87"/>
      <c r="P14" s="87"/>
    </row>
    <row r="15" spans="2:16" x14ac:dyDescent="0.3">
      <c r="B15" s="48" t="s">
        <v>211</v>
      </c>
      <c r="C15" s="110"/>
      <c r="D15" s="110"/>
      <c r="E15" s="48"/>
      <c r="F15" s="87"/>
      <c r="G15" s="87"/>
      <c r="I15" s="87"/>
      <c r="J15" s="87"/>
      <c r="L15" s="87"/>
      <c r="M15" s="87"/>
      <c r="O15" s="87"/>
      <c r="P15" s="87"/>
    </row>
    <row r="16" spans="2:16" x14ac:dyDescent="0.3">
      <c r="B16" s="54" t="s">
        <v>178</v>
      </c>
      <c r="C16" s="110">
        <f>'2023 Accounts Summary'!N18</f>
        <v>-14.6</v>
      </c>
      <c r="D16" s="110"/>
      <c r="E16" s="54"/>
      <c r="F16" s="87">
        <f>'2022 Accounts Summary'!N18</f>
        <v>-25</v>
      </c>
      <c r="G16" s="87"/>
      <c r="I16" s="92">
        <f>'2022 Accounts Summary'!Q18</f>
        <v>0</v>
      </c>
      <c r="J16" s="87"/>
      <c r="L16" s="92">
        <f>'2022 Accounts Summary'!T18</f>
        <v>0</v>
      </c>
      <c r="M16" s="87"/>
      <c r="O16" s="92">
        <v>0</v>
      </c>
      <c r="P16" s="87"/>
    </row>
    <row r="17" spans="2:16" x14ac:dyDescent="0.3">
      <c r="B17" s="54" t="s">
        <v>217</v>
      </c>
      <c r="C17" s="110">
        <f>SUM('2023 Accounts Summary'!N19:N20)</f>
        <v>-115.05</v>
      </c>
      <c r="D17" s="110"/>
      <c r="E17" s="54"/>
      <c r="F17" s="87">
        <f>SUM('2022 Accounts Summary'!N19,'2022 Accounts Summary'!N20)</f>
        <v>-86.25</v>
      </c>
      <c r="G17" s="87"/>
      <c r="I17" s="87">
        <f>-SUM('Statement Entries 010121-311221'!F13,'Statement Entries 010121-311221'!F15)</f>
        <v>-403.79</v>
      </c>
      <c r="J17" s="87"/>
      <c r="L17" s="92">
        <f>-SUM('Statement Entries 010121-311221'!I13,'Statement Entries 010121-311221'!I15)</f>
        <v>0</v>
      </c>
      <c r="M17" s="87"/>
      <c r="O17" s="92">
        <v>0</v>
      </c>
      <c r="P17" s="87"/>
    </row>
    <row r="18" spans="2:16" x14ac:dyDescent="0.3">
      <c r="B18" s="54" t="s">
        <v>220</v>
      </c>
      <c r="C18" s="110">
        <f>'2023 Accounts Summary'!N24</f>
        <v>-2629.3999999999996</v>
      </c>
      <c r="D18" s="110"/>
      <c r="E18" s="54"/>
      <c r="F18" s="87">
        <f>'2022 Accounts Summary'!N24</f>
        <v>-1033.3799999999999</v>
      </c>
      <c r="G18" s="87"/>
      <c r="I18" s="92">
        <f>'2022 Accounts Summary'!Q24</f>
        <v>0</v>
      </c>
      <c r="J18" s="87"/>
      <c r="L18" s="92">
        <f>'2022 Accounts Summary'!T24</f>
        <v>0</v>
      </c>
      <c r="M18" s="87"/>
      <c r="O18" s="92">
        <f>-SUM('Statement Entries 010119-211219'!F6,'Statement Entries 010119-211219'!F7,'Statement Entries 010119-211219'!F12,'Statement Entries 010119-211219'!F8)</f>
        <v>-1507.44</v>
      </c>
      <c r="P18" s="87"/>
    </row>
    <row r="19" spans="2:16" x14ac:dyDescent="0.3">
      <c r="B19" s="54" t="s">
        <v>221</v>
      </c>
      <c r="C19" s="110">
        <f>'2023 Accounts Summary'!N25</f>
        <v>-1363.56</v>
      </c>
      <c r="D19" s="110"/>
      <c r="E19" s="54"/>
      <c r="F19" s="87">
        <f>'2022 Accounts Summary'!N25</f>
        <v>-1304.46</v>
      </c>
      <c r="G19" s="87"/>
      <c r="I19" s="92">
        <f>'2022 Accounts Summary'!Q25</f>
        <v>0</v>
      </c>
      <c r="J19" s="87"/>
      <c r="L19" s="92">
        <f>'2022 Accounts Summary'!T25</f>
        <v>0</v>
      </c>
      <c r="M19" s="87"/>
      <c r="O19" s="92">
        <f>-SUM('Statement Entries 010119-211219'!F4,'Statement Entries 010119-211219'!F9,'Statement Entries 010119-211219'!F10)</f>
        <v>-365.33</v>
      </c>
      <c r="P19" s="87"/>
    </row>
    <row r="20" spans="2:16" x14ac:dyDescent="0.3">
      <c r="B20" s="54" t="s">
        <v>460</v>
      </c>
      <c r="C20" s="110">
        <f>'2023 Accounts Summary'!N26</f>
        <v>-180</v>
      </c>
      <c r="D20" s="110"/>
      <c r="E20" s="54"/>
      <c r="F20" s="87">
        <f>'2022 Accounts Summary'!N26</f>
        <v>-18</v>
      </c>
      <c r="G20" s="87"/>
      <c r="I20" s="92">
        <f>'2022 Accounts Summary'!Q26</f>
        <v>0</v>
      </c>
      <c r="J20" s="87"/>
      <c r="L20" s="92">
        <f>-'Statement Entries 010120-311220'!F4</f>
        <v>-100</v>
      </c>
      <c r="M20" s="87"/>
      <c r="O20" s="92">
        <v>0</v>
      </c>
      <c r="P20" s="87"/>
    </row>
    <row r="21" spans="2:16" x14ac:dyDescent="0.3">
      <c r="B21" s="54" t="s">
        <v>222</v>
      </c>
      <c r="C21" s="110">
        <f>'2023 Accounts Summary'!N27</f>
        <v>-585.4</v>
      </c>
      <c r="D21" s="110"/>
      <c r="E21" s="54"/>
      <c r="F21" s="87">
        <f>SUM('2022 Accounts Summary'!N27,'2022 Accounts Summary'!N31)</f>
        <v>-383.25</v>
      </c>
      <c r="G21" s="87"/>
      <c r="I21" s="92">
        <f>SUM('2022 Accounts Summary'!Q27,'2022 Accounts Summary'!Q31)</f>
        <v>0</v>
      </c>
      <c r="J21" s="87"/>
      <c r="L21" s="92">
        <f>SUM('2022 Accounts Summary'!T27,'2022 Accounts Summary'!T31)</f>
        <v>0</v>
      </c>
      <c r="M21" s="87"/>
      <c r="O21" s="92">
        <v>0</v>
      </c>
      <c r="P21" s="87"/>
    </row>
    <row r="22" spans="2:16" x14ac:dyDescent="0.3">
      <c r="C22" s="111"/>
      <c r="D22" s="112">
        <f>SUM(C16:C21)</f>
        <v>-4888.0099999999993</v>
      </c>
      <c r="F22" s="88"/>
      <c r="G22" s="89">
        <f>SUM(F16:F21)</f>
        <v>-2850.34</v>
      </c>
      <c r="I22" s="88"/>
      <c r="J22" s="89">
        <f>SUM(I16:I21)</f>
        <v>-403.79</v>
      </c>
      <c r="L22" s="88"/>
      <c r="M22" s="89">
        <f>SUM(L16:L21)</f>
        <v>-100</v>
      </c>
      <c r="O22" s="88"/>
      <c r="P22" s="89">
        <f>SUM(O16:O21)</f>
        <v>-1872.77</v>
      </c>
    </row>
    <row r="23" spans="2:16" ht="6" customHeight="1" x14ac:dyDescent="0.3">
      <c r="C23" s="110"/>
      <c r="D23" s="110"/>
      <c r="F23" s="87"/>
      <c r="G23" s="87"/>
      <c r="I23" s="87"/>
      <c r="J23" s="87"/>
      <c r="L23" s="87"/>
      <c r="M23" s="87"/>
      <c r="O23" s="87"/>
      <c r="P23" s="87"/>
    </row>
    <row r="24" spans="2:16" ht="16.2" thickBot="1" x14ac:dyDescent="0.35">
      <c r="B24" s="48" t="s">
        <v>281</v>
      </c>
      <c r="C24" s="110"/>
      <c r="D24" s="114">
        <f>SUM(D13,D22)</f>
        <v>-1684.7499999999991</v>
      </c>
      <c r="E24" s="48"/>
      <c r="F24" s="87"/>
      <c r="G24" s="90">
        <f>SUM(G13,G22)</f>
        <v>-2137.54</v>
      </c>
      <c r="I24" s="87"/>
      <c r="J24" s="90">
        <f>SUM(J13,J22)</f>
        <v>-393.79</v>
      </c>
      <c r="L24" s="87"/>
      <c r="M24" s="94">
        <f>SUM(M13,M22)</f>
        <v>1000</v>
      </c>
      <c r="O24" s="87"/>
      <c r="P24" s="94">
        <f>SUM(P13,P22)</f>
        <v>115.23000000000002</v>
      </c>
    </row>
    <row r="25" spans="2:16" ht="16.2" thickTop="1" x14ac:dyDescent="0.3"/>
    <row r="26" spans="2:16" s="85" customFormat="1" ht="18" x14ac:dyDescent="0.35">
      <c r="B26" s="156" t="s">
        <v>224</v>
      </c>
      <c r="C26" s="156"/>
      <c r="D26" s="156"/>
      <c r="E26" s="156"/>
      <c r="F26" s="156"/>
      <c r="G26" s="156"/>
      <c r="H26" s="156"/>
      <c r="I26" s="156"/>
      <c r="J26" s="156"/>
    </row>
    <row r="27" spans="2:16" s="85" customFormat="1" ht="18" x14ac:dyDescent="0.35">
      <c r="B27" s="156" t="s">
        <v>442</v>
      </c>
      <c r="C27" s="156"/>
      <c r="D27" s="156"/>
      <c r="E27" s="156"/>
      <c r="F27" s="156"/>
      <c r="G27" s="156"/>
      <c r="H27" s="156"/>
      <c r="I27" s="156"/>
      <c r="J27" s="156"/>
    </row>
    <row r="28" spans="2:16" ht="6" customHeight="1" x14ac:dyDescent="0.3"/>
    <row r="29" spans="2:16" x14ac:dyDescent="0.3">
      <c r="C29" s="154" t="s">
        <v>443</v>
      </c>
      <c r="D29" s="154"/>
      <c r="F29" s="153" t="s">
        <v>223</v>
      </c>
      <c r="G29" s="153"/>
      <c r="I29" s="153" t="s">
        <v>253</v>
      </c>
      <c r="J29" s="153"/>
      <c r="L29" s="153" t="s">
        <v>263</v>
      </c>
      <c r="M29" s="153"/>
      <c r="O29" s="153" t="s">
        <v>267</v>
      </c>
      <c r="P29" s="153"/>
    </row>
    <row r="30" spans="2:16" x14ac:dyDescent="0.3">
      <c r="C30" s="107" t="s">
        <v>216</v>
      </c>
      <c r="D30" s="107" t="s">
        <v>216</v>
      </c>
      <c r="F30" s="78" t="s">
        <v>216</v>
      </c>
      <c r="G30" s="78" t="s">
        <v>216</v>
      </c>
      <c r="I30" s="78" t="s">
        <v>216</v>
      </c>
      <c r="J30" s="78" t="s">
        <v>216</v>
      </c>
      <c r="L30" s="78" t="s">
        <v>216</v>
      </c>
      <c r="M30" s="78" t="s">
        <v>216</v>
      </c>
      <c r="O30" s="78" t="s">
        <v>216</v>
      </c>
      <c r="P30" s="78" t="s">
        <v>216</v>
      </c>
    </row>
    <row r="31" spans="2:16" x14ac:dyDescent="0.3">
      <c r="B31" s="48" t="s">
        <v>225</v>
      </c>
      <c r="C31" s="108"/>
      <c r="D31" s="108"/>
      <c r="E31" s="48"/>
      <c r="I31" s="51"/>
      <c r="J31" s="51"/>
      <c r="L31" s="51"/>
      <c r="M31" s="51"/>
      <c r="O31" s="51"/>
      <c r="P31" s="51"/>
    </row>
    <row r="32" spans="2:16" x14ac:dyDescent="0.3">
      <c r="B32" s="54" t="s">
        <v>226</v>
      </c>
      <c r="C32" s="109">
        <f>'Statement Entries 010123-311223'!H2</f>
        <v>4523.26</v>
      </c>
      <c r="D32" s="108"/>
      <c r="E32" s="54"/>
      <c r="F32" s="92">
        <f>'Statement Entries 010122-311222'!H2</f>
        <v>6208.01</v>
      </c>
      <c r="I32" s="92">
        <f>'Statement Entries 010121-311221'!H2</f>
        <v>8395.5499999999993</v>
      </c>
      <c r="J32" s="51"/>
      <c r="L32" s="92">
        <f>'Statement Entries 010120-311220'!H2</f>
        <v>8739.34</v>
      </c>
      <c r="M32" s="51"/>
      <c r="O32" s="92">
        <f>'Statement Entries 010119-211219'!H2</f>
        <v>7739.34</v>
      </c>
      <c r="P32" s="51"/>
    </row>
    <row r="33" spans="2:16" x14ac:dyDescent="0.3">
      <c r="C33" s="113">
        <f>SUM(C32)</f>
        <v>4523.26</v>
      </c>
      <c r="D33" s="108"/>
      <c r="F33" s="93">
        <f>SUM(F32)</f>
        <v>6208.01</v>
      </c>
      <c r="I33" s="93">
        <f>SUM(I32)</f>
        <v>8395.5499999999993</v>
      </c>
      <c r="J33" s="51"/>
      <c r="L33" s="93">
        <f>SUM(L32)</f>
        <v>8739.34</v>
      </c>
      <c r="M33" s="51"/>
      <c r="O33" s="93">
        <f>SUM(O32)</f>
        <v>7739.34</v>
      </c>
      <c r="P33" s="51"/>
    </row>
    <row r="34" spans="2:16" x14ac:dyDescent="0.3">
      <c r="B34" s="48" t="s">
        <v>227</v>
      </c>
      <c r="C34" s="108"/>
      <c r="D34" s="108"/>
      <c r="E34" s="48"/>
      <c r="I34" s="51"/>
      <c r="J34" s="51"/>
      <c r="L34" s="51"/>
      <c r="M34" s="51"/>
      <c r="O34" s="51"/>
      <c r="P34" s="51"/>
    </row>
    <row r="35" spans="2:16" x14ac:dyDescent="0.3">
      <c r="B35" s="54" t="s">
        <v>228</v>
      </c>
      <c r="C35" s="109">
        <f>0</f>
        <v>0</v>
      </c>
      <c r="D35" s="108"/>
      <c r="E35" s="54"/>
      <c r="F35" s="92">
        <v>0</v>
      </c>
      <c r="I35" s="92">
        <v>0</v>
      </c>
      <c r="J35" s="51"/>
      <c r="L35" s="92">
        <v>0</v>
      </c>
      <c r="M35" s="51"/>
      <c r="O35" s="92">
        <v>0</v>
      </c>
      <c r="P35" s="51"/>
    </row>
    <row r="36" spans="2:16" ht="6" customHeight="1" x14ac:dyDescent="0.3">
      <c r="C36" s="108"/>
      <c r="D36" s="108"/>
      <c r="I36" s="51"/>
      <c r="J36" s="51"/>
      <c r="L36" s="51"/>
      <c r="M36" s="51"/>
      <c r="O36" s="51"/>
      <c r="P36" s="51"/>
    </row>
    <row r="37" spans="2:16" ht="16.2" thickBot="1" x14ac:dyDescent="0.35">
      <c r="B37" s="48" t="s">
        <v>229</v>
      </c>
      <c r="C37" s="108"/>
      <c r="D37" s="114">
        <f>SUM(C33,C35)</f>
        <v>4523.26</v>
      </c>
      <c r="E37" s="48"/>
      <c r="G37" s="94">
        <f>SUM(F32,F35)</f>
        <v>6208.01</v>
      </c>
      <c r="I37" s="51"/>
      <c r="J37" s="94">
        <f>SUM(I32,I35)</f>
        <v>8395.5499999999993</v>
      </c>
      <c r="L37" s="51"/>
      <c r="M37" s="94">
        <f>SUM(L32,L35)</f>
        <v>8739.34</v>
      </c>
      <c r="O37" s="51"/>
      <c r="P37" s="94">
        <f>SUM(O32,O35)</f>
        <v>7739.34</v>
      </c>
    </row>
    <row r="38" spans="2:16" ht="16.2" thickTop="1" x14ac:dyDescent="0.3">
      <c r="C38" s="108"/>
      <c r="D38" s="108"/>
      <c r="I38" s="51"/>
      <c r="J38" s="51"/>
      <c r="L38" s="51"/>
      <c r="M38" s="51"/>
      <c r="O38" s="51"/>
      <c r="P38" s="51"/>
    </row>
    <row r="39" spans="2:16" x14ac:dyDescent="0.3">
      <c r="B39" s="48" t="s">
        <v>230</v>
      </c>
      <c r="C39" s="108"/>
      <c r="D39" s="108"/>
      <c r="E39" s="48"/>
      <c r="I39" s="51"/>
      <c r="J39" s="51"/>
      <c r="L39" s="51"/>
      <c r="M39" s="51"/>
      <c r="O39" s="51"/>
      <c r="P39" s="51"/>
    </row>
    <row r="40" spans="2:16" ht="6" customHeight="1" x14ac:dyDescent="0.3">
      <c r="C40" s="108"/>
      <c r="D40" s="108"/>
      <c r="I40" s="51"/>
      <c r="J40" s="51"/>
      <c r="L40" s="51"/>
      <c r="M40" s="51"/>
      <c r="O40" s="51"/>
      <c r="P40" s="51"/>
    </row>
    <row r="41" spans="2:16" x14ac:dyDescent="0.3">
      <c r="B41" s="48" t="s">
        <v>231</v>
      </c>
      <c r="C41" s="108"/>
      <c r="D41" s="108"/>
      <c r="E41" s="48"/>
      <c r="I41" s="51"/>
      <c r="J41" s="51"/>
      <c r="L41" s="51"/>
      <c r="M41" s="51"/>
      <c r="O41" s="51"/>
      <c r="P41" s="51"/>
    </row>
    <row r="42" spans="2:16" x14ac:dyDescent="0.3">
      <c r="B42" s="54" t="s">
        <v>232</v>
      </c>
      <c r="C42" s="109">
        <f>G47</f>
        <v>6208.0099999999993</v>
      </c>
      <c r="D42" s="108"/>
      <c r="E42" s="54"/>
      <c r="F42" s="92">
        <f>'Statement Entries 010122-311222'!H49</f>
        <v>8395.5499999999993</v>
      </c>
      <c r="I42" s="92">
        <f>'Statement Entries 010121-311221'!H17</f>
        <v>8739.34</v>
      </c>
      <c r="J42" s="51"/>
      <c r="L42" s="92">
        <f>'Statement Entries 010120-311220'!H14</f>
        <v>7739.34</v>
      </c>
      <c r="M42" s="51"/>
      <c r="O42" s="92">
        <f>'Statement Entries 010119-211219'!H21</f>
        <v>7624.1100000000006</v>
      </c>
      <c r="P42" s="51"/>
    </row>
    <row r="43" spans="2:16" x14ac:dyDescent="0.3">
      <c r="B43" s="54" t="s">
        <v>233</v>
      </c>
      <c r="C43" s="109" t="s">
        <v>50</v>
      </c>
      <c r="D43" s="108"/>
      <c r="E43" s="54"/>
      <c r="F43" s="92">
        <f>'2022 Accounts Summary'!N42</f>
        <v>-50</v>
      </c>
      <c r="I43" s="92">
        <f>'Statement Entries 010121-311221'!G6</f>
        <v>50</v>
      </c>
      <c r="J43" s="51"/>
      <c r="L43" s="92"/>
      <c r="M43" s="51"/>
      <c r="O43" s="92"/>
      <c r="P43" s="51"/>
    </row>
    <row r="44" spans="2:16" x14ac:dyDescent="0.3">
      <c r="B44" s="54" t="s">
        <v>266</v>
      </c>
      <c r="C44" s="109">
        <f>D24</f>
        <v>-1684.7499999999991</v>
      </c>
      <c r="D44" s="108"/>
      <c r="E44" s="54"/>
      <c r="F44" s="87">
        <f>G24</f>
        <v>-2137.54</v>
      </c>
      <c r="I44" s="87">
        <f>J24</f>
        <v>-393.79</v>
      </c>
      <c r="J44" s="51"/>
      <c r="L44" s="92">
        <f>M24</f>
        <v>1000</v>
      </c>
      <c r="M44" s="51"/>
      <c r="O44" s="92">
        <f>P24</f>
        <v>115.23000000000002</v>
      </c>
      <c r="P44" s="51"/>
    </row>
    <row r="45" spans="2:16" x14ac:dyDescent="0.3">
      <c r="C45" s="115"/>
      <c r="D45" s="112">
        <f>SUM(C42:C44)</f>
        <v>4523.26</v>
      </c>
      <c r="F45" s="84"/>
      <c r="G45" s="91">
        <f>SUM(F42,F43,F44)</f>
        <v>6208.0099999999993</v>
      </c>
      <c r="I45" s="84"/>
      <c r="J45" s="91">
        <f>SUM(I42,I43,I44)</f>
        <v>8395.5499999999993</v>
      </c>
      <c r="L45" s="84"/>
      <c r="M45" s="91">
        <f>SUM(L42,L43,L44)</f>
        <v>8739.34</v>
      </c>
      <c r="O45" s="84"/>
      <c r="P45" s="91">
        <f>SUM(O42,O43,O44)</f>
        <v>7739.34</v>
      </c>
    </row>
    <row r="46" spans="2:16" ht="6" customHeight="1" x14ac:dyDescent="0.3">
      <c r="C46" s="108"/>
      <c r="D46" s="108"/>
      <c r="I46" s="51"/>
      <c r="J46" s="51"/>
      <c r="L46" s="51"/>
      <c r="M46" s="51"/>
      <c r="O46" s="51"/>
      <c r="P46" s="51"/>
    </row>
    <row r="47" spans="2:16" ht="16.2" thickBot="1" x14ac:dyDescent="0.35">
      <c r="C47" s="108"/>
      <c r="D47" s="114">
        <f>D45</f>
        <v>4523.26</v>
      </c>
      <c r="G47" s="94">
        <f>G45</f>
        <v>6208.0099999999993</v>
      </c>
      <c r="I47" s="51"/>
      <c r="J47" s="94">
        <f>J45</f>
        <v>8395.5499999999993</v>
      </c>
      <c r="L47" s="51"/>
      <c r="M47" s="94">
        <f>M45</f>
        <v>8739.34</v>
      </c>
      <c r="O47" s="51"/>
      <c r="P47" s="94">
        <f>P45</f>
        <v>7739.34</v>
      </c>
    </row>
    <row r="48" spans="2:16" ht="16.2" thickTop="1" x14ac:dyDescent="0.3"/>
  </sheetData>
  <mergeCells count="15">
    <mergeCell ref="C29:D29"/>
    <mergeCell ref="B1:J1"/>
    <mergeCell ref="B3:J3"/>
    <mergeCell ref="B4:J4"/>
    <mergeCell ref="B26:J26"/>
    <mergeCell ref="B27:J27"/>
    <mergeCell ref="I6:J6"/>
    <mergeCell ref="C6:D6"/>
    <mergeCell ref="L6:M6"/>
    <mergeCell ref="L29:M29"/>
    <mergeCell ref="O6:P6"/>
    <mergeCell ref="O29:P29"/>
    <mergeCell ref="F29:G29"/>
    <mergeCell ref="F6:G6"/>
    <mergeCell ref="I29:J29"/>
  </mergeCells>
  <pageMargins left="0.70866141732283472" right="0.70866141732283472" top="0.74803149606299213" bottom="0.74803149606299213" header="0.31496062992125984" footer="0.31496062992125984"/>
  <pageSetup paperSize="9" scale="71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89131-688B-418D-84B9-F8AA5CB014B9}">
  <sheetPr>
    <pageSetUpPr fitToPage="1"/>
  </sheetPr>
  <dimension ref="A1:O43"/>
  <sheetViews>
    <sheetView showGridLines="0" workbookViewId="0">
      <pane ySplit="1" topLeftCell="A2" activePane="bottomLeft" state="frozen"/>
      <selection pane="bottomLeft"/>
    </sheetView>
  </sheetViews>
  <sheetFormatPr defaultRowHeight="15.6" x14ac:dyDescent="0.3"/>
  <cols>
    <col min="1" max="1" width="36.109375" style="53" customWidth="1"/>
    <col min="2" max="13" width="13.6640625" style="51" customWidth="1"/>
    <col min="14" max="14" width="13.6640625" style="78" customWidth="1"/>
    <col min="15" max="16384" width="8.88671875" style="53"/>
  </cols>
  <sheetData>
    <row r="1" spans="1:14" s="48" customFormat="1" x14ac:dyDescent="0.3">
      <c r="B1" s="49">
        <v>44927</v>
      </c>
      <c r="C1" s="49">
        <v>44958</v>
      </c>
      <c r="D1" s="49">
        <v>44986</v>
      </c>
      <c r="E1" s="49">
        <v>45017</v>
      </c>
      <c r="F1" s="49">
        <v>45047</v>
      </c>
      <c r="G1" s="49">
        <v>45078</v>
      </c>
      <c r="H1" s="49">
        <v>45108</v>
      </c>
      <c r="I1" s="49">
        <v>45139</v>
      </c>
      <c r="J1" s="49">
        <v>45170</v>
      </c>
      <c r="K1" s="49">
        <v>45200</v>
      </c>
      <c r="L1" s="49">
        <v>45231</v>
      </c>
      <c r="M1" s="49">
        <v>45261</v>
      </c>
      <c r="N1" s="50" t="s">
        <v>444</v>
      </c>
    </row>
    <row r="2" spans="1:14" x14ac:dyDescent="0.3">
      <c r="A2" s="48" t="s">
        <v>182</v>
      </c>
      <c r="N2" s="52"/>
    </row>
    <row r="3" spans="1:14" x14ac:dyDescent="0.3">
      <c r="A3" s="54" t="s">
        <v>6</v>
      </c>
      <c r="B3" s="55">
        <f>SUM('2023 Membership Income'!H5:H7,'2023 Membership Income'!H10,'2023 Membership Income'!H13:H15,'2023 Membership Income'!H17,'2023 Membership Income'!H20,'2023 Membership Income'!H23)*'2023 Membership Income'!H4</f>
        <v>70</v>
      </c>
      <c r="C3" s="55">
        <f>SUM('2023 Membership Income'!H11:H12,'2023 Membership Income'!H21,'2023 Membership Income'!H24,'2023 Membership Income'!H27)*'2023 Membership Income'!H4</f>
        <v>35</v>
      </c>
      <c r="D3" s="55">
        <f>SUM('2023 Membership Income'!H25)*'2023 Membership Income'!H4</f>
        <v>7</v>
      </c>
      <c r="E3" s="55"/>
      <c r="F3" s="55"/>
      <c r="G3" s="55">
        <f>SUM('2023 Membership Income'!H19)*'2023 Membership Income'!H4</f>
        <v>7</v>
      </c>
      <c r="H3" s="55"/>
      <c r="I3" s="55"/>
      <c r="J3" s="55"/>
      <c r="K3" s="55"/>
      <c r="L3" s="55"/>
      <c r="M3" s="55"/>
      <c r="N3" s="56">
        <f>SUM(B3:M3)</f>
        <v>119</v>
      </c>
    </row>
    <row r="4" spans="1:14" x14ac:dyDescent="0.3">
      <c r="A4" s="57" t="s">
        <v>7</v>
      </c>
      <c r="B4" s="58">
        <f>SUM(B3)</f>
        <v>70</v>
      </c>
      <c r="C4" s="58">
        <f t="shared" ref="C4:N4" si="0">SUM(C3)</f>
        <v>35</v>
      </c>
      <c r="D4" s="58">
        <f t="shared" si="0"/>
        <v>7</v>
      </c>
      <c r="E4" s="58">
        <f t="shared" si="0"/>
        <v>0</v>
      </c>
      <c r="F4" s="58">
        <f t="shared" si="0"/>
        <v>0</v>
      </c>
      <c r="G4" s="58">
        <f t="shared" si="0"/>
        <v>7</v>
      </c>
      <c r="H4" s="58">
        <f t="shared" si="0"/>
        <v>0</v>
      </c>
      <c r="I4" s="58">
        <f t="shared" si="0"/>
        <v>0</v>
      </c>
      <c r="J4" s="58">
        <f t="shared" si="0"/>
        <v>0</v>
      </c>
      <c r="K4" s="58">
        <f t="shared" si="0"/>
        <v>0</v>
      </c>
      <c r="L4" s="58">
        <f t="shared" si="0"/>
        <v>0</v>
      </c>
      <c r="M4" s="58">
        <f t="shared" si="0"/>
        <v>0</v>
      </c>
      <c r="N4" s="59">
        <f t="shared" si="0"/>
        <v>119</v>
      </c>
    </row>
    <row r="5" spans="1:14" x14ac:dyDescent="0.3">
      <c r="N5" s="60"/>
    </row>
    <row r="6" spans="1:14" x14ac:dyDescent="0.3">
      <c r="A6" s="48" t="s">
        <v>183</v>
      </c>
      <c r="N6" s="60"/>
    </row>
    <row r="7" spans="1:14" x14ac:dyDescent="0.3">
      <c r="A7" s="54" t="s">
        <v>184</v>
      </c>
      <c r="B7" s="55">
        <f>SUM('2023 Membership Income'!J5:J7,'2023 Membership Income'!J10,'2023 Membership Income'!J13:J15,'2023 Membership Income'!J17,'2023 Membership Income'!J20,'2023 Membership Income'!J23)-SUM('2023 Membership Income'!H5:H7,'2023 Membership Income'!H10,'2023 Membership Income'!H13:H15,'2023 Membership Income'!H17,'2023 Membership Income'!H20,'2023 Membership Income'!H23)*'2023 Membership Income'!H4</f>
        <v>1045</v>
      </c>
      <c r="C7" s="55">
        <f>SUM('2023 Membership Income'!K11:K12,'2023 Membership Income'!K21,'2023 Membership Income'!K24,'2023 Membership Income'!K27)-SUM('2023 Membership Income'!H11:H12,'2023 Membership Income'!H21,'2023 Membership Income'!H24,'2023 Membership Income'!H27)*'2023 Membership Income'!H4</f>
        <v>425</v>
      </c>
      <c r="D7" s="55">
        <f>SUM('2023 Membership Income'!L25)-SUM('2023 Membership Income'!H25)*'2023 Membership Income'!H4</f>
        <v>130</v>
      </c>
      <c r="E7" s="55"/>
      <c r="F7" s="55"/>
      <c r="G7" s="55">
        <f>SUM('2023 Membership Income'!M19,'2023 Membership Income'!M27)-('2023 Membership Income'!H19*'2023 Membership Income'!H4)</f>
        <v>280</v>
      </c>
      <c r="H7" s="55"/>
      <c r="I7" s="55"/>
      <c r="J7" s="55"/>
      <c r="K7" s="55"/>
      <c r="L7" s="55"/>
      <c r="M7" s="55"/>
      <c r="N7" s="56">
        <f t="shared" ref="N7:N9" si="1">SUM(B7:M7)</f>
        <v>1880</v>
      </c>
    </row>
    <row r="8" spans="1:14" x14ac:dyDescent="0.3">
      <c r="A8" s="54" t="s">
        <v>185</v>
      </c>
      <c r="B8" s="55"/>
      <c r="C8" s="55"/>
      <c r="D8" s="55"/>
      <c r="E8" s="55">
        <f>'Statement Entries 010123-311223'!G22</f>
        <v>363</v>
      </c>
      <c r="F8" s="55"/>
      <c r="G8" s="55">
        <f>'Statement Entries 010123-311223'!G15</f>
        <v>308</v>
      </c>
      <c r="H8" s="55"/>
      <c r="I8" s="55"/>
      <c r="J8" s="55"/>
      <c r="K8" s="55">
        <f>'Statement Entries 010123-311223'!G7</f>
        <v>239.55</v>
      </c>
      <c r="L8" s="55">
        <f>'Statement Entries 010123-311223'!G5</f>
        <v>318.70999999999998</v>
      </c>
      <c r="M8" s="55"/>
      <c r="N8" s="56">
        <f t="shared" si="1"/>
        <v>1229.26</v>
      </c>
    </row>
    <row r="9" spans="1:14" x14ac:dyDescent="0.3">
      <c r="A9" s="57" t="s">
        <v>7</v>
      </c>
      <c r="B9" s="58">
        <f>SUM(B7:B8)</f>
        <v>1045</v>
      </c>
      <c r="C9" s="58">
        <f t="shared" ref="C9:M9" si="2">SUM(C7:C8)</f>
        <v>425</v>
      </c>
      <c r="D9" s="58">
        <f t="shared" si="2"/>
        <v>130</v>
      </c>
      <c r="E9" s="58">
        <f t="shared" si="2"/>
        <v>363</v>
      </c>
      <c r="F9" s="58">
        <f t="shared" si="2"/>
        <v>0</v>
      </c>
      <c r="G9" s="58">
        <f t="shared" si="2"/>
        <v>588</v>
      </c>
      <c r="H9" s="58">
        <f t="shared" si="2"/>
        <v>0</v>
      </c>
      <c r="I9" s="58">
        <f t="shared" si="2"/>
        <v>0</v>
      </c>
      <c r="J9" s="58">
        <f t="shared" si="2"/>
        <v>0</v>
      </c>
      <c r="K9" s="58">
        <f t="shared" si="2"/>
        <v>239.55</v>
      </c>
      <c r="L9" s="58">
        <f t="shared" si="2"/>
        <v>318.70999999999998</v>
      </c>
      <c r="M9" s="58">
        <f t="shared" si="2"/>
        <v>0</v>
      </c>
      <c r="N9" s="59">
        <f t="shared" si="1"/>
        <v>3109.26</v>
      </c>
    </row>
    <row r="10" spans="1:14" x14ac:dyDescent="0.3">
      <c r="N10" s="60"/>
    </row>
    <row r="11" spans="1:14" x14ac:dyDescent="0.3">
      <c r="A11" s="48" t="s">
        <v>197</v>
      </c>
      <c r="N11" s="60"/>
    </row>
    <row r="12" spans="1:14" x14ac:dyDescent="0.3">
      <c r="A12" s="54" t="s">
        <v>195</v>
      </c>
      <c r="B12" s="61">
        <f>-SUM('Statement Entries 010123-311223'!F33)</f>
        <v>-25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2">
        <f t="shared" ref="N12" si="3">SUM(B12:M12)</f>
        <v>-25</v>
      </c>
    </row>
    <row r="13" spans="1:14" x14ac:dyDescent="0.3">
      <c r="A13" s="57" t="s">
        <v>7</v>
      </c>
      <c r="B13" s="63">
        <f>SUM(B12)</f>
        <v>-25</v>
      </c>
      <c r="C13" s="63">
        <f t="shared" ref="C13:N13" si="4">SUM(C12)</f>
        <v>0</v>
      </c>
      <c r="D13" s="63">
        <f t="shared" si="4"/>
        <v>0</v>
      </c>
      <c r="E13" s="63">
        <f t="shared" si="4"/>
        <v>0</v>
      </c>
      <c r="F13" s="63">
        <f t="shared" si="4"/>
        <v>0</v>
      </c>
      <c r="G13" s="63">
        <f t="shared" si="4"/>
        <v>0</v>
      </c>
      <c r="H13" s="63">
        <f t="shared" si="4"/>
        <v>0</v>
      </c>
      <c r="I13" s="63">
        <f t="shared" si="4"/>
        <v>0</v>
      </c>
      <c r="J13" s="63">
        <f t="shared" si="4"/>
        <v>0</v>
      </c>
      <c r="K13" s="63">
        <f t="shared" si="4"/>
        <v>0</v>
      </c>
      <c r="L13" s="63">
        <f t="shared" si="4"/>
        <v>0</v>
      </c>
      <c r="M13" s="63">
        <f t="shared" si="4"/>
        <v>0</v>
      </c>
      <c r="N13" s="64">
        <f t="shared" si="4"/>
        <v>-25</v>
      </c>
    </row>
    <row r="14" spans="1:14" x14ac:dyDescent="0.3">
      <c r="N14" s="60"/>
    </row>
    <row r="15" spans="1:14" s="48" customFormat="1" x14ac:dyDescent="0.3">
      <c r="A15" s="65" t="s">
        <v>186</v>
      </c>
      <c r="B15" s="66">
        <f>SUM(B4,B9,B13)</f>
        <v>1090</v>
      </c>
      <c r="C15" s="66">
        <f t="shared" ref="C15:N15" si="5">SUM(C4,C9,C13)</f>
        <v>460</v>
      </c>
      <c r="D15" s="67">
        <f t="shared" si="5"/>
        <v>137</v>
      </c>
      <c r="E15" s="67">
        <f t="shared" si="5"/>
        <v>363</v>
      </c>
      <c r="F15" s="66">
        <f t="shared" si="5"/>
        <v>0</v>
      </c>
      <c r="G15" s="66">
        <f t="shared" si="5"/>
        <v>595</v>
      </c>
      <c r="H15" s="66">
        <f t="shared" si="5"/>
        <v>0</v>
      </c>
      <c r="I15" s="66">
        <f t="shared" si="5"/>
        <v>0</v>
      </c>
      <c r="J15" s="66">
        <f t="shared" si="5"/>
        <v>0</v>
      </c>
      <c r="K15" s="66">
        <f t="shared" si="5"/>
        <v>239.55</v>
      </c>
      <c r="L15" s="66">
        <f t="shared" si="5"/>
        <v>318.70999999999998</v>
      </c>
      <c r="M15" s="66">
        <f t="shared" si="5"/>
        <v>0</v>
      </c>
      <c r="N15" s="68">
        <f t="shared" si="5"/>
        <v>3203.26</v>
      </c>
    </row>
    <row r="16" spans="1:14" x14ac:dyDescent="0.3">
      <c r="N16" s="60"/>
    </row>
    <row r="17" spans="1:15" x14ac:dyDescent="0.3">
      <c r="A17" s="48" t="s">
        <v>187</v>
      </c>
      <c r="N17" s="60"/>
    </row>
    <row r="18" spans="1:15" x14ac:dyDescent="0.3">
      <c r="A18" s="54" t="s">
        <v>178</v>
      </c>
      <c r="B18" s="69"/>
      <c r="C18" s="61">
        <f>-SUM('Statement Entries 010123-311223'!F31)</f>
        <v>-14.6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2">
        <f t="shared" ref="N18:N21" si="6">SUM(B18:M18)</f>
        <v>-14.6</v>
      </c>
    </row>
    <row r="19" spans="1:15" x14ac:dyDescent="0.3">
      <c r="A19" s="54" t="s">
        <v>218</v>
      </c>
      <c r="B19" s="69"/>
      <c r="C19" s="69"/>
      <c r="D19" s="69"/>
      <c r="E19" s="69"/>
      <c r="F19" s="69"/>
      <c r="G19" s="61">
        <f>-SUM('Statement Entries 010123-311223'!F19)</f>
        <v>-14.39</v>
      </c>
      <c r="H19" s="69"/>
      <c r="I19" s="69"/>
      <c r="J19" s="69"/>
      <c r="K19" s="69"/>
      <c r="L19" s="69"/>
      <c r="M19" s="69"/>
      <c r="N19" s="62">
        <f t="shared" si="6"/>
        <v>-14.39</v>
      </c>
    </row>
    <row r="20" spans="1:15" x14ac:dyDescent="0.3">
      <c r="A20" s="54" t="s">
        <v>219</v>
      </c>
      <c r="B20" s="69"/>
      <c r="C20" s="69"/>
      <c r="D20" s="69"/>
      <c r="E20" s="69"/>
      <c r="F20" s="69"/>
      <c r="G20" s="61">
        <f>-SUM('Statement Entries 010123-311223'!F20)</f>
        <v>-100.66</v>
      </c>
      <c r="H20" s="69"/>
      <c r="I20" s="69"/>
      <c r="J20" s="69"/>
      <c r="K20" s="69"/>
      <c r="L20" s="69"/>
      <c r="M20" s="69"/>
      <c r="N20" s="62">
        <f t="shared" si="6"/>
        <v>-100.66</v>
      </c>
    </row>
    <row r="21" spans="1:15" x14ac:dyDescent="0.3">
      <c r="A21" s="57" t="s">
        <v>7</v>
      </c>
      <c r="B21" s="63">
        <f>SUM(B18:B20)</f>
        <v>0</v>
      </c>
      <c r="C21" s="63">
        <f t="shared" ref="C21:M21" si="7">SUM(C18:C20)</f>
        <v>-14.6</v>
      </c>
      <c r="D21" s="63">
        <f t="shared" si="7"/>
        <v>0</v>
      </c>
      <c r="E21" s="63">
        <f t="shared" si="7"/>
        <v>0</v>
      </c>
      <c r="F21" s="63">
        <f t="shared" si="7"/>
        <v>0</v>
      </c>
      <c r="G21" s="63">
        <f t="shared" si="7"/>
        <v>-115.05</v>
      </c>
      <c r="H21" s="63">
        <f t="shared" si="7"/>
        <v>0</v>
      </c>
      <c r="I21" s="63">
        <f t="shared" si="7"/>
        <v>0</v>
      </c>
      <c r="J21" s="63">
        <f t="shared" si="7"/>
        <v>0</v>
      </c>
      <c r="K21" s="63">
        <f t="shared" si="7"/>
        <v>0</v>
      </c>
      <c r="L21" s="63">
        <f t="shared" si="7"/>
        <v>0</v>
      </c>
      <c r="M21" s="63">
        <f t="shared" si="7"/>
        <v>0</v>
      </c>
      <c r="N21" s="64">
        <f t="shared" si="6"/>
        <v>-129.65</v>
      </c>
    </row>
    <row r="22" spans="1:15" x14ac:dyDescent="0.3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70"/>
    </row>
    <row r="23" spans="1:15" x14ac:dyDescent="0.3">
      <c r="A23" s="48" t="s">
        <v>188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70"/>
    </row>
    <row r="24" spans="1:15" x14ac:dyDescent="0.3">
      <c r="A24" s="54" t="s">
        <v>189</v>
      </c>
      <c r="B24" s="69"/>
      <c r="C24" s="61">
        <f>-SUM('Statement Entries 010123-311223'!F26)</f>
        <v>-603.54</v>
      </c>
      <c r="D24" s="61">
        <f>-SUM('Statement Entries 010123-311223'!F24)</f>
        <v>-215.24</v>
      </c>
      <c r="E24" s="69"/>
      <c r="F24" s="69"/>
      <c r="G24" s="61">
        <f>-SUM('Statement Entries 010123-311223'!F18)</f>
        <v>-603.54</v>
      </c>
      <c r="H24" s="69"/>
      <c r="I24" s="69"/>
      <c r="J24" s="61">
        <f>-SUM('Statement Entries 010123-311223'!F9)</f>
        <v>-603.54</v>
      </c>
      <c r="K24" s="61">
        <f>-SUM('Statement Entries 010123-311223'!F8)</f>
        <v>-603.54</v>
      </c>
      <c r="L24" s="69"/>
      <c r="M24" s="69"/>
      <c r="N24" s="62">
        <f t="shared" ref="N24:N28" si="8">SUM(B24:M24)</f>
        <v>-2629.3999999999996</v>
      </c>
    </row>
    <row r="25" spans="1:15" x14ac:dyDescent="0.3">
      <c r="A25" s="54" t="s">
        <v>165</v>
      </c>
      <c r="B25" s="69"/>
      <c r="C25" s="69"/>
      <c r="D25" s="69"/>
      <c r="E25" s="69"/>
      <c r="F25" s="61"/>
      <c r="G25" s="61"/>
      <c r="H25" s="61">
        <f>-SUM('Statement Entries 010123-311223'!F12:F14)</f>
        <v>-432.1</v>
      </c>
      <c r="I25" s="69"/>
      <c r="J25" s="61"/>
      <c r="K25" s="69"/>
      <c r="L25" s="61">
        <f>-SUM('Statement Entries 010123-311223'!F6,'Statement Entries 010123-311223'!F4)</f>
        <v>-931.46</v>
      </c>
      <c r="M25" s="61"/>
      <c r="N25" s="62">
        <f t="shared" si="8"/>
        <v>-1363.56</v>
      </c>
    </row>
    <row r="26" spans="1:15" x14ac:dyDescent="0.3">
      <c r="A26" s="54" t="s">
        <v>190</v>
      </c>
      <c r="B26" s="69"/>
      <c r="C26" s="61">
        <f>-SUM('Statement Entries 010123-311223'!F25)</f>
        <v>-180</v>
      </c>
      <c r="D26" s="69"/>
      <c r="E26" s="69"/>
      <c r="F26" s="69"/>
      <c r="G26" s="69"/>
      <c r="H26" s="69"/>
      <c r="I26" s="69"/>
      <c r="J26" s="69"/>
      <c r="K26" s="69"/>
      <c r="L26" s="69"/>
      <c r="M26" s="61"/>
      <c r="N26" s="62">
        <f t="shared" si="8"/>
        <v>-180</v>
      </c>
    </row>
    <row r="27" spans="1:15" x14ac:dyDescent="0.3">
      <c r="A27" s="54" t="s">
        <v>199</v>
      </c>
      <c r="B27" s="69"/>
      <c r="C27" s="69"/>
      <c r="D27" s="69"/>
      <c r="E27" s="69"/>
      <c r="F27" s="61">
        <f>-SUM('Statement Entries 010123-311223'!F21)</f>
        <v>-34.5</v>
      </c>
      <c r="G27" s="61"/>
      <c r="H27" s="69"/>
      <c r="I27" s="61">
        <f>-SUM('Statement Entries 010123-311223'!F10:F11)</f>
        <v>-550.9</v>
      </c>
      <c r="J27" s="69"/>
      <c r="K27" s="69"/>
      <c r="L27" s="69"/>
      <c r="M27" s="69"/>
      <c r="N27" s="62">
        <f t="shared" si="8"/>
        <v>-585.4</v>
      </c>
    </row>
    <row r="28" spans="1:15" x14ac:dyDescent="0.3">
      <c r="A28" s="57" t="s">
        <v>7</v>
      </c>
      <c r="B28" s="63">
        <f>SUM(B24:B27)</f>
        <v>0</v>
      </c>
      <c r="C28" s="63">
        <f t="shared" ref="C28:M28" si="9">SUM(C24:C27)</f>
        <v>-783.54</v>
      </c>
      <c r="D28" s="63">
        <f t="shared" si="9"/>
        <v>-215.24</v>
      </c>
      <c r="E28" s="63">
        <f t="shared" si="9"/>
        <v>0</v>
      </c>
      <c r="F28" s="63">
        <f t="shared" si="9"/>
        <v>-34.5</v>
      </c>
      <c r="G28" s="63">
        <f t="shared" si="9"/>
        <v>-603.54</v>
      </c>
      <c r="H28" s="63">
        <f t="shared" si="9"/>
        <v>-432.1</v>
      </c>
      <c r="I28" s="63">
        <f t="shared" si="9"/>
        <v>-550.9</v>
      </c>
      <c r="J28" s="63">
        <f t="shared" si="9"/>
        <v>-603.54</v>
      </c>
      <c r="K28" s="63">
        <f t="shared" si="9"/>
        <v>-603.54</v>
      </c>
      <c r="L28" s="63">
        <f t="shared" si="9"/>
        <v>-931.46</v>
      </c>
      <c r="M28" s="63">
        <f t="shared" si="9"/>
        <v>0</v>
      </c>
      <c r="N28" s="64">
        <f t="shared" si="8"/>
        <v>-4758.3600000000006</v>
      </c>
      <c r="O28" s="71"/>
    </row>
    <row r="29" spans="1:15" x14ac:dyDescent="0.3">
      <c r="A29" s="54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70"/>
    </row>
    <row r="30" spans="1:15" x14ac:dyDescent="0.3">
      <c r="A30" s="48" t="s">
        <v>190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70"/>
    </row>
    <row r="31" spans="1:15" x14ac:dyDescent="0.3">
      <c r="A31" s="54" t="s">
        <v>191</v>
      </c>
      <c r="B31" s="69"/>
      <c r="C31" s="69"/>
      <c r="D31" s="69"/>
      <c r="E31" s="69"/>
      <c r="F31" s="69"/>
      <c r="G31" s="61"/>
      <c r="H31" s="69"/>
      <c r="I31" s="69"/>
      <c r="J31" s="61"/>
      <c r="K31" s="69"/>
      <c r="L31" s="69"/>
      <c r="M31" s="69"/>
      <c r="N31" s="62">
        <f t="shared" ref="N31:N32" si="10">SUM(B31:M31)</f>
        <v>0</v>
      </c>
    </row>
    <row r="32" spans="1:15" x14ac:dyDescent="0.3">
      <c r="A32" s="57" t="s">
        <v>192</v>
      </c>
      <c r="B32" s="63">
        <f t="shared" ref="B32:M32" si="11">SUM(B31:B31)</f>
        <v>0</v>
      </c>
      <c r="C32" s="63">
        <f t="shared" si="11"/>
        <v>0</v>
      </c>
      <c r="D32" s="63">
        <f t="shared" si="11"/>
        <v>0</v>
      </c>
      <c r="E32" s="63">
        <f t="shared" si="11"/>
        <v>0</v>
      </c>
      <c r="F32" s="63">
        <f t="shared" si="11"/>
        <v>0</v>
      </c>
      <c r="G32" s="63">
        <f t="shared" si="11"/>
        <v>0</v>
      </c>
      <c r="H32" s="63">
        <f t="shared" si="11"/>
        <v>0</v>
      </c>
      <c r="I32" s="63">
        <f t="shared" si="11"/>
        <v>0</v>
      </c>
      <c r="J32" s="63">
        <f t="shared" si="11"/>
        <v>0</v>
      </c>
      <c r="K32" s="63">
        <f t="shared" si="11"/>
        <v>0</v>
      </c>
      <c r="L32" s="63">
        <f t="shared" si="11"/>
        <v>0</v>
      </c>
      <c r="M32" s="63">
        <f t="shared" si="11"/>
        <v>0</v>
      </c>
      <c r="N32" s="64">
        <f t="shared" si="10"/>
        <v>0</v>
      </c>
    </row>
    <row r="33" spans="1:15" x14ac:dyDescent="0.3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70"/>
    </row>
    <row r="34" spans="1:15" s="48" customFormat="1" x14ac:dyDescent="0.3">
      <c r="A34" s="72" t="s">
        <v>193</v>
      </c>
      <c r="B34" s="67">
        <f>SUM(B21,B28,B32)</f>
        <v>0</v>
      </c>
      <c r="C34" s="67">
        <f t="shared" ref="C34:N34" si="12">SUM(C21,C28,C32)</f>
        <v>-798.14</v>
      </c>
      <c r="D34" s="67">
        <f t="shared" si="12"/>
        <v>-215.24</v>
      </c>
      <c r="E34" s="67">
        <f t="shared" si="12"/>
        <v>0</v>
      </c>
      <c r="F34" s="67">
        <f t="shared" si="12"/>
        <v>-34.5</v>
      </c>
      <c r="G34" s="67">
        <f t="shared" si="12"/>
        <v>-718.58999999999992</v>
      </c>
      <c r="H34" s="67">
        <f t="shared" si="12"/>
        <v>-432.1</v>
      </c>
      <c r="I34" s="67">
        <f t="shared" si="12"/>
        <v>-550.9</v>
      </c>
      <c r="J34" s="67">
        <f t="shared" si="12"/>
        <v>-603.54</v>
      </c>
      <c r="K34" s="67">
        <f t="shared" si="12"/>
        <v>-603.54</v>
      </c>
      <c r="L34" s="67">
        <f t="shared" si="12"/>
        <v>-931.46</v>
      </c>
      <c r="M34" s="67">
        <f t="shared" si="12"/>
        <v>0</v>
      </c>
      <c r="N34" s="73">
        <f t="shared" si="12"/>
        <v>-4888.01</v>
      </c>
      <c r="O34" s="74"/>
    </row>
    <row r="35" spans="1:15" x14ac:dyDescent="0.3">
      <c r="N35" s="60"/>
    </row>
    <row r="36" spans="1:15" s="48" customFormat="1" ht="16.2" thickBot="1" x14ac:dyDescent="0.35">
      <c r="A36" s="75" t="s">
        <v>194</v>
      </c>
      <c r="B36" s="76">
        <f>SUM(B15,B34)</f>
        <v>1090</v>
      </c>
      <c r="C36" s="76">
        <f t="shared" ref="C36:N36" si="13">SUM(C15,C34)</f>
        <v>-338.14</v>
      </c>
      <c r="D36" s="76">
        <f t="shared" si="13"/>
        <v>-78.240000000000009</v>
      </c>
      <c r="E36" s="76">
        <f t="shared" si="13"/>
        <v>363</v>
      </c>
      <c r="F36" s="76">
        <f t="shared" si="13"/>
        <v>-34.5</v>
      </c>
      <c r="G36" s="76">
        <f t="shared" si="13"/>
        <v>-123.58999999999992</v>
      </c>
      <c r="H36" s="76">
        <f t="shared" si="13"/>
        <v>-432.1</v>
      </c>
      <c r="I36" s="76">
        <f t="shared" si="13"/>
        <v>-550.9</v>
      </c>
      <c r="J36" s="76">
        <f t="shared" si="13"/>
        <v>-603.54</v>
      </c>
      <c r="K36" s="76">
        <f t="shared" si="13"/>
        <v>-363.98999999999995</v>
      </c>
      <c r="L36" s="76">
        <f t="shared" si="13"/>
        <v>-612.75</v>
      </c>
      <c r="M36" s="76">
        <f t="shared" si="13"/>
        <v>0</v>
      </c>
      <c r="N36" s="77">
        <f t="shared" si="13"/>
        <v>-1684.75</v>
      </c>
      <c r="O36" s="74"/>
    </row>
    <row r="37" spans="1:15" ht="16.2" thickTop="1" x14ac:dyDescent="0.3"/>
    <row r="38" spans="1:15" x14ac:dyDescent="0.3">
      <c r="A38" s="48" t="s">
        <v>207</v>
      </c>
    </row>
    <row r="39" spans="1:15" x14ac:dyDescent="0.3">
      <c r="A39" s="54" t="s">
        <v>202</v>
      </c>
      <c r="B39" s="55">
        <f>SUM('Statement Entries 010123-311223'!G33:G43)</f>
        <v>1115</v>
      </c>
      <c r="C39" s="55">
        <f>SUM('Statement Entries 010123-311223'!G25:G32)</f>
        <v>460</v>
      </c>
      <c r="D39" s="55">
        <f>SUM('Statement Entries 010123-311223'!G23:G24)</f>
        <v>137</v>
      </c>
      <c r="E39" s="55">
        <f>SUM('Statement Entries 010123-311223'!G22)</f>
        <v>363</v>
      </c>
      <c r="F39" s="55"/>
      <c r="G39" s="55">
        <f>SUM('Statement Entries 010123-311223'!G15:G18)</f>
        <v>595</v>
      </c>
      <c r="H39" s="55"/>
      <c r="I39" s="55"/>
      <c r="J39" s="55"/>
      <c r="K39" s="55">
        <f>SUM('Statement Entries 010123-311223'!G7)</f>
        <v>239.55</v>
      </c>
      <c r="L39" s="55">
        <f>SUM('Statement Entries 010123-311223'!G5)</f>
        <v>318.70999999999998</v>
      </c>
      <c r="M39" s="55"/>
      <c r="N39" s="56">
        <f t="shared" ref="N39" si="14">SUM(B39:M39)</f>
        <v>3228.26</v>
      </c>
    </row>
    <row r="40" spans="1:15" x14ac:dyDescent="0.3">
      <c r="A40" s="79" t="s">
        <v>203</v>
      </c>
      <c r="B40" s="80">
        <f>-SUM('Statement Entries 010123-311223'!F33:F43)</f>
        <v>-25</v>
      </c>
      <c r="C40" s="80">
        <f>-SUM('Statement Entries 010123-311223'!F25:F32)</f>
        <v>-798.14</v>
      </c>
      <c r="D40" s="80">
        <f>-SUM('Statement Entries 010123-311223'!F23:F24)</f>
        <v>-215.24</v>
      </c>
      <c r="E40" s="80"/>
      <c r="F40" s="80">
        <f>-SUM('Statement Entries 010123-311223'!F19:F21)</f>
        <v>-149.55000000000001</v>
      </c>
      <c r="G40" s="80">
        <f>-SUM('Statement Entries 010123-311223'!F15:F18)</f>
        <v>-603.54</v>
      </c>
      <c r="H40" s="80">
        <f>-SUM('Statement Entries 010123-311223'!F12:F14)</f>
        <v>-432.1</v>
      </c>
      <c r="I40" s="80">
        <f>-SUM('Statement Entries 010123-311223'!F10:F11)</f>
        <v>-550.9</v>
      </c>
      <c r="J40" s="80">
        <f>-SUM('Statement Entries 010123-311223'!F9)</f>
        <v>-603.54</v>
      </c>
      <c r="K40" s="80">
        <f>-SUM('Statement Entries 010123-311223'!F8)</f>
        <v>-603.54</v>
      </c>
      <c r="L40" s="80">
        <f>-SUM('Statement Entries 010123-311223'!F4:F6)</f>
        <v>-931.46</v>
      </c>
      <c r="M40" s="80"/>
      <c r="N40" s="81">
        <f t="shared" ref="N40" si="15">SUM(B40:M40)</f>
        <v>-4913.01</v>
      </c>
    </row>
    <row r="41" spans="1:15" s="48" customFormat="1" x14ac:dyDescent="0.3">
      <c r="A41" s="72" t="s">
        <v>204</v>
      </c>
      <c r="B41" s="67">
        <f>SUM(B39:B40)</f>
        <v>1090</v>
      </c>
      <c r="C41" s="67">
        <f t="shared" ref="C41:N41" si="16">SUM(C39:C40)</f>
        <v>-338.14</v>
      </c>
      <c r="D41" s="67">
        <f t="shared" si="16"/>
        <v>-78.240000000000009</v>
      </c>
      <c r="E41" s="67">
        <f t="shared" si="16"/>
        <v>363</v>
      </c>
      <c r="F41" s="67">
        <f t="shared" si="16"/>
        <v>-149.55000000000001</v>
      </c>
      <c r="G41" s="67">
        <f t="shared" si="16"/>
        <v>-8.5399999999999636</v>
      </c>
      <c r="H41" s="67">
        <f t="shared" si="16"/>
        <v>-432.1</v>
      </c>
      <c r="I41" s="67">
        <f t="shared" si="16"/>
        <v>-550.9</v>
      </c>
      <c r="J41" s="67">
        <f t="shared" si="16"/>
        <v>-603.54</v>
      </c>
      <c r="K41" s="67">
        <f t="shared" si="16"/>
        <v>-363.98999999999995</v>
      </c>
      <c r="L41" s="67">
        <f t="shared" si="16"/>
        <v>-612.75</v>
      </c>
      <c r="M41" s="67">
        <f t="shared" si="16"/>
        <v>0</v>
      </c>
      <c r="N41" s="73">
        <f t="shared" si="16"/>
        <v>-1684.75</v>
      </c>
      <c r="O41" s="74"/>
    </row>
    <row r="42" spans="1:15" x14ac:dyDescent="0.3">
      <c r="A42" s="82" t="s">
        <v>201</v>
      </c>
      <c r="B42" s="61">
        <f t="shared" ref="B42:N42" si="17">B41-B36</f>
        <v>0</v>
      </c>
      <c r="C42" s="61">
        <f t="shared" si="17"/>
        <v>0</v>
      </c>
      <c r="D42" s="61">
        <f t="shared" si="17"/>
        <v>0</v>
      </c>
      <c r="E42" s="61">
        <f t="shared" si="17"/>
        <v>0</v>
      </c>
      <c r="F42" s="61">
        <f t="shared" si="17"/>
        <v>-115.05000000000001</v>
      </c>
      <c r="G42" s="61">
        <f t="shared" si="17"/>
        <v>115.04999999999995</v>
      </c>
      <c r="H42" s="61">
        <f t="shared" si="17"/>
        <v>0</v>
      </c>
      <c r="I42" s="61">
        <f t="shared" si="17"/>
        <v>0</v>
      </c>
      <c r="J42" s="61">
        <f t="shared" si="17"/>
        <v>0</v>
      </c>
      <c r="K42" s="61">
        <f t="shared" si="17"/>
        <v>0</v>
      </c>
      <c r="L42" s="61">
        <f t="shared" si="17"/>
        <v>0</v>
      </c>
      <c r="M42" s="61">
        <f t="shared" si="17"/>
        <v>0</v>
      </c>
      <c r="N42" s="62">
        <f t="shared" si="17"/>
        <v>0</v>
      </c>
      <c r="O42" s="71"/>
    </row>
    <row r="43" spans="1:15" x14ac:dyDescent="0.3">
      <c r="A43" s="83"/>
    </row>
  </sheetData>
  <pageMargins left="0.70866141732283472" right="0.70866141732283472" top="0.74803149606299213" bottom="0.74803149606299213" header="0.31496062992125984" footer="0.31496062992125984"/>
  <pageSetup paperSize="9" scale="61" orientation="landscape" horizontalDpi="360" verticalDpi="360" r:id="rId1"/>
  <ignoredErrors>
    <ignoredError sqref="C3 C7 H25 I27 B39:D39 C40:I4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698F2-7DDE-4414-86E4-30BACE883266}">
  <sheetPr>
    <pageSetUpPr fitToPage="1"/>
  </sheetPr>
  <dimension ref="A1:O35"/>
  <sheetViews>
    <sheetView showGridLines="0" workbookViewId="0">
      <selection activeCell="I3" sqref="I3"/>
    </sheetView>
  </sheetViews>
  <sheetFormatPr defaultRowHeight="14.4" x14ac:dyDescent="0.3"/>
  <cols>
    <col min="1" max="1" width="25.44140625" customWidth="1"/>
    <col min="2" max="7" width="6.5546875" bestFit="1" customWidth="1"/>
    <col min="8" max="8" width="5.5546875" bestFit="1" customWidth="1"/>
    <col min="9" max="9" width="10.6640625" style="13" customWidth="1"/>
    <col min="10" max="10" width="9.109375" style="13" bestFit="1" customWidth="1"/>
    <col min="11" max="13" width="7.5546875" style="13" bestFit="1" customWidth="1"/>
    <col min="14" max="14" width="10.6640625" style="13" customWidth="1"/>
    <col min="15" max="15" width="9.109375" bestFit="1" customWidth="1"/>
  </cols>
  <sheetData>
    <row r="1" spans="1:15" ht="18" x14ac:dyDescent="0.35">
      <c r="B1" s="157">
        <v>2023</v>
      </c>
      <c r="C1" s="156"/>
      <c r="D1" s="156"/>
      <c r="E1" s="156"/>
      <c r="F1" s="156"/>
      <c r="G1" s="156"/>
      <c r="H1" s="156"/>
      <c r="I1" s="158"/>
      <c r="J1" s="158"/>
      <c r="K1" s="158"/>
      <c r="L1" s="158"/>
      <c r="M1" s="158"/>
      <c r="N1" s="158"/>
    </row>
    <row r="2" spans="1:15" ht="18" x14ac:dyDescent="0.35">
      <c r="B2" s="140"/>
      <c r="C2" s="126"/>
      <c r="D2" s="126"/>
      <c r="E2" s="126"/>
      <c r="F2" s="126"/>
      <c r="G2" s="126"/>
      <c r="H2" s="126"/>
      <c r="I2" s="141"/>
      <c r="J2" s="159" t="s">
        <v>455</v>
      </c>
      <c r="K2" s="160"/>
      <c r="L2" s="160"/>
      <c r="M2" s="160"/>
      <c r="N2" s="161"/>
    </row>
    <row r="3" spans="1:15" ht="76.2" customHeight="1" x14ac:dyDescent="0.3">
      <c r="A3" s="139" t="s">
        <v>0</v>
      </c>
      <c r="B3" s="136" t="s">
        <v>2</v>
      </c>
      <c r="C3" s="136" t="s">
        <v>446</v>
      </c>
      <c r="D3" s="136" t="s">
        <v>33</v>
      </c>
      <c r="E3" s="136" t="s">
        <v>34</v>
      </c>
      <c r="F3" s="136" t="s">
        <v>102</v>
      </c>
      <c r="G3" s="136" t="s">
        <v>5</v>
      </c>
      <c r="H3" s="136" t="s">
        <v>6</v>
      </c>
      <c r="I3" s="137" t="s">
        <v>7</v>
      </c>
      <c r="J3" s="136" t="s">
        <v>456</v>
      </c>
      <c r="K3" s="136" t="s">
        <v>457</v>
      </c>
      <c r="L3" s="136" t="s">
        <v>459</v>
      </c>
      <c r="M3" s="136" t="s">
        <v>458</v>
      </c>
      <c r="N3" s="138" t="s">
        <v>282</v>
      </c>
      <c r="O3" s="138" t="s">
        <v>445</v>
      </c>
    </row>
    <row r="4" spans="1:15" x14ac:dyDescent="0.3">
      <c r="A4" s="1" t="s">
        <v>8</v>
      </c>
      <c r="B4" s="2">
        <v>25</v>
      </c>
      <c r="C4" s="2">
        <v>25</v>
      </c>
      <c r="D4" s="2">
        <v>25</v>
      </c>
      <c r="E4" s="2">
        <v>25</v>
      </c>
      <c r="F4" s="2">
        <v>5</v>
      </c>
      <c r="G4" s="2">
        <v>25</v>
      </c>
      <c r="H4" s="2">
        <v>7</v>
      </c>
    </row>
    <row r="5" spans="1:15" x14ac:dyDescent="0.3">
      <c r="A5" t="s">
        <v>10</v>
      </c>
      <c r="B5" s="7">
        <v>1</v>
      </c>
      <c r="C5" s="7">
        <v>1</v>
      </c>
      <c r="D5" s="7">
        <v>1</v>
      </c>
      <c r="E5" s="7">
        <v>1</v>
      </c>
      <c r="F5" s="7">
        <v>1</v>
      </c>
      <c r="G5" s="7">
        <v>1</v>
      </c>
      <c r="H5" s="7">
        <v>1</v>
      </c>
      <c r="I5" s="18">
        <f>B$4*B5+C$4*C5+D$4*D5+E$4*E5+F$4*F5+G$4*G5+H$4*H5</f>
        <v>137</v>
      </c>
      <c r="J5" s="18">
        <v>137</v>
      </c>
      <c r="K5" s="18"/>
      <c r="L5" s="18"/>
      <c r="M5" s="18"/>
      <c r="N5" s="135">
        <v>137</v>
      </c>
    </row>
    <row r="6" spans="1:15" x14ac:dyDescent="0.3">
      <c r="A6" t="s">
        <v>11</v>
      </c>
      <c r="B6" s="7"/>
      <c r="C6" s="7">
        <v>1</v>
      </c>
      <c r="D6" s="7">
        <v>1</v>
      </c>
      <c r="E6" s="7">
        <v>1</v>
      </c>
      <c r="F6" s="7">
        <v>1</v>
      </c>
      <c r="G6" s="7">
        <v>1</v>
      </c>
      <c r="H6" s="7">
        <v>1</v>
      </c>
      <c r="I6" s="18">
        <f t="shared" ref="I6:I28" si="0">B$4*B6+C$4*C6+D$4*D6+E$4*E6+F$4*F6+G$4*G6+H$4*H6</f>
        <v>112</v>
      </c>
      <c r="J6" s="18">
        <v>112</v>
      </c>
      <c r="K6" s="18"/>
      <c r="L6" s="18"/>
      <c r="M6" s="18"/>
      <c r="N6" s="135">
        <v>112</v>
      </c>
    </row>
    <row r="7" spans="1:15" x14ac:dyDescent="0.3">
      <c r="A7" t="s">
        <v>286</v>
      </c>
      <c r="B7" s="7">
        <v>1</v>
      </c>
      <c r="C7" s="7">
        <v>2</v>
      </c>
      <c r="D7" s="7">
        <v>2</v>
      </c>
      <c r="E7" s="7">
        <v>2</v>
      </c>
      <c r="F7" s="7">
        <v>2</v>
      </c>
      <c r="G7" s="7">
        <v>2</v>
      </c>
      <c r="H7" s="7">
        <v>1</v>
      </c>
      <c r="I7" s="18">
        <f t="shared" si="0"/>
        <v>242</v>
      </c>
      <c r="J7" s="18">
        <v>267</v>
      </c>
      <c r="K7" s="18"/>
      <c r="L7" s="18"/>
      <c r="M7" s="18"/>
      <c r="N7" s="135">
        <v>267</v>
      </c>
      <c r="O7" s="2"/>
    </row>
    <row r="8" spans="1:15" x14ac:dyDescent="0.3">
      <c r="A8" s="152" t="s">
        <v>61</v>
      </c>
      <c r="B8" s="7"/>
      <c r="C8" s="7"/>
      <c r="D8" s="7"/>
      <c r="E8" s="7"/>
      <c r="F8" s="7"/>
      <c r="G8" s="7"/>
      <c r="H8" s="7"/>
      <c r="I8" s="18"/>
      <c r="J8" s="18">
        <f>-25</f>
        <v>-25</v>
      </c>
      <c r="K8" s="18"/>
      <c r="L8" s="18"/>
      <c r="M8" s="18"/>
      <c r="N8" s="18"/>
      <c r="O8" s="118">
        <f>J8</f>
        <v>-25</v>
      </c>
    </row>
    <row r="9" spans="1:15" x14ac:dyDescent="0.3">
      <c r="A9" t="s">
        <v>12</v>
      </c>
      <c r="B9" s="8"/>
      <c r="C9" s="8"/>
      <c r="D9" s="8"/>
      <c r="E9" s="8"/>
      <c r="F9" s="8"/>
      <c r="G9" s="8"/>
      <c r="H9" s="8"/>
      <c r="I9" s="18">
        <f t="shared" si="0"/>
        <v>0</v>
      </c>
      <c r="J9" s="18"/>
      <c r="K9" s="18"/>
      <c r="L9" s="18"/>
      <c r="M9" s="18"/>
      <c r="N9" s="18"/>
    </row>
    <row r="10" spans="1:15" x14ac:dyDescent="0.3">
      <c r="A10" t="s">
        <v>283</v>
      </c>
      <c r="B10" s="7"/>
      <c r="C10" s="7"/>
      <c r="D10" s="7">
        <v>1</v>
      </c>
      <c r="E10" s="7">
        <v>1</v>
      </c>
      <c r="F10" s="7"/>
      <c r="G10" s="7"/>
      <c r="H10" s="7">
        <v>1</v>
      </c>
      <c r="I10" s="18">
        <f t="shared" si="0"/>
        <v>57</v>
      </c>
      <c r="J10" s="18">
        <v>57</v>
      </c>
      <c r="K10" s="18"/>
      <c r="L10" s="18"/>
      <c r="M10" s="18"/>
      <c r="N10" s="135">
        <v>57</v>
      </c>
    </row>
    <row r="11" spans="1:15" x14ac:dyDescent="0.3">
      <c r="A11" t="s">
        <v>14</v>
      </c>
      <c r="B11" s="7">
        <v>1</v>
      </c>
      <c r="C11" s="7">
        <v>1</v>
      </c>
      <c r="D11" s="7">
        <v>1</v>
      </c>
      <c r="E11" s="7">
        <v>1</v>
      </c>
      <c r="F11" s="7">
        <v>1</v>
      </c>
      <c r="G11" s="7">
        <v>1</v>
      </c>
      <c r="H11" s="7">
        <v>1</v>
      </c>
      <c r="I11" s="18">
        <f t="shared" si="0"/>
        <v>137</v>
      </c>
      <c r="J11" s="18"/>
      <c r="K11" s="18">
        <v>137</v>
      </c>
      <c r="L11" s="18"/>
      <c r="M11" s="18"/>
      <c r="N11" s="135">
        <v>137</v>
      </c>
    </row>
    <row r="12" spans="1:15" x14ac:dyDescent="0.3">
      <c r="A12" t="s">
        <v>16</v>
      </c>
      <c r="B12" s="7"/>
      <c r="C12" s="7">
        <v>1</v>
      </c>
      <c r="D12" s="7">
        <v>1</v>
      </c>
      <c r="E12" s="7">
        <v>1</v>
      </c>
      <c r="F12" s="7">
        <v>1</v>
      </c>
      <c r="G12" s="7"/>
      <c r="H12" s="7">
        <v>1</v>
      </c>
      <c r="I12" s="18">
        <f t="shared" si="0"/>
        <v>87</v>
      </c>
      <c r="J12" s="18"/>
      <c r="K12" s="18">
        <v>87</v>
      </c>
      <c r="L12" s="18"/>
      <c r="M12" s="18"/>
      <c r="N12" s="135">
        <v>87</v>
      </c>
    </row>
    <row r="13" spans="1:15" x14ac:dyDescent="0.3">
      <c r="A13" t="s">
        <v>17</v>
      </c>
      <c r="B13" s="7"/>
      <c r="C13" s="7">
        <v>1</v>
      </c>
      <c r="D13" s="7">
        <v>1</v>
      </c>
      <c r="E13" s="7">
        <v>1</v>
      </c>
      <c r="F13" s="7">
        <v>1</v>
      </c>
      <c r="G13" s="7"/>
      <c r="H13" s="7">
        <v>1</v>
      </c>
      <c r="I13" s="18">
        <f t="shared" si="0"/>
        <v>87</v>
      </c>
      <c r="J13" s="18">
        <v>87</v>
      </c>
      <c r="K13" s="18"/>
      <c r="L13" s="18"/>
      <c r="M13" s="18"/>
      <c r="N13" s="135">
        <v>87</v>
      </c>
    </row>
    <row r="14" spans="1:15" x14ac:dyDescent="0.3">
      <c r="A14" t="s">
        <v>19</v>
      </c>
      <c r="B14" s="7"/>
      <c r="C14" s="7">
        <v>1</v>
      </c>
      <c r="D14" s="7">
        <v>1</v>
      </c>
      <c r="E14" s="7">
        <v>1</v>
      </c>
      <c r="F14" s="7">
        <v>1</v>
      </c>
      <c r="G14" s="7"/>
      <c r="H14" s="7">
        <v>1</v>
      </c>
      <c r="I14" s="18">
        <f t="shared" si="0"/>
        <v>87</v>
      </c>
      <c r="J14" s="18">
        <v>87</v>
      </c>
      <c r="K14" s="18"/>
      <c r="L14" s="18"/>
      <c r="M14" s="18"/>
      <c r="N14" s="135">
        <v>87</v>
      </c>
    </row>
    <row r="15" spans="1:15" x14ac:dyDescent="0.3">
      <c r="A15" t="s">
        <v>20</v>
      </c>
      <c r="B15" s="7"/>
      <c r="C15" s="7">
        <v>1</v>
      </c>
      <c r="D15" s="7">
        <v>1</v>
      </c>
      <c r="E15" s="7">
        <v>1</v>
      </c>
      <c r="F15" s="7">
        <v>1</v>
      </c>
      <c r="G15" s="7">
        <v>1</v>
      </c>
      <c r="H15" s="7">
        <v>1</v>
      </c>
      <c r="I15" s="18">
        <f t="shared" si="0"/>
        <v>112</v>
      </c>
      <c r="J15" s="18">
        <v>112</v>
      </c>
      <c r="K15" s="18"/>
      <c r="L15" s="18"/>
      <c r="M15" s="18"/>
      <c r="N15" s="135">
        <v>112</v>
      </c>
    </row>
    <row r="16" spans="1:15" x14ac:dyDescent="0.3">
      <c r="A16" t="s">
        <v>21</v>
      </c>
      <c r="I16" s="18">
        <f t="shared" si="0"/>
        <v>0</v>
      </c>
      <c r="J16" s="18"/>
      <c r="K16" s="18"/>
      <c r="L16" s="18"/>
      <c r="M16" s="18"/>
    </row>
    <row r="17" spans="1:15" x14ac:dyDescent="0.3">
      <c r="A17" t="s">
        <v>22</v>
      </c>
      <c r="B17" s="7"/>
      <c r="C17" s="7"/>
      <c r="D17" s="7"/>
      <c r="E17" s="7"/>
      <c r="F17" s="7"/>
      <c r="G17" s="7">
        <v>1</v>
      </c>
      <c r="H17" s="7">
        <v>1</v>
      </c>
      <c r="I17" s="18">
        <f t="shared" si="0"/>
        <v>32</v>
      </c>
      <c r="J17" s="18">
        <v>32</v>
      </c>
      <c r="K17" s="18"/>
      <c r="L17" s="18"/>
      <c r="M17" s="18"/>
      <c r="N17" s="135">
        <v>32</v>
      </c>
    </row>
    <row r="18" spans="1:15" x14ac:dyDescent="0.3">
      <c r="A18" t="s">
        <v>23</v>
      </c>
      <c r="I18" s="18">
        <f t="shared" si="0"/>
        <v>0</v>
      </c>
      <c r="J18" s="18"/>
      <c r="K18" s="18"/>
      <c r="L18" s="18"/>
      <c r="M18" s="18"/>
    </row>
    <row r="19" spans="1:15" x14ac:dyDescent="0.3">
      <c r="A19" t="s">
        <v>24</v>
      </c>
      <c r="B19">
        <v>1</v>
      </c>
      <c r="C19">
        <v>1</v>
      </c>
      <c r="D19">
        <v>1</v>
      </c>
      <c r="E19">
        <v>1</v>
      </c>
      <c r="F19">
        <v>1</v>
      </c>
      <c r="G19">
        <v>1</v>
      </c>
      <c r="H19">
        <v>1</v>
      </c>
      <c r="I19" s="18">
        <f t="shared" si="0"/>
        <v>137</v>
      </c>
      <c r="J19" s="18"/>
      <c r="K19" s="18"/>
      <c r="L19" s="18"/>
      <c r="M19" s="18">
        <v>137</v>
      </c>
      <c r="N19" s="135">
        <v>137</v>
      </c>
    </row>
    <row r="20" spans="1:15" x14ac:dyDescent="0.3">
      <c r="A20" t="s">
        <v>25</v>
      </c>
      <c r="B20" s="7"/>
      <c r="C20" s="7">
        <v>1</v>
      </c>
      <c r="D20" s="7">
        <v>1</v>
      </c>
      <c r="E20" s="7">
        <v>1</v>
      </c>
      <c r="F20" s="7">
        <v>1</v>
      </c>
      <c r="G20" s="7">
        <v>1</v>
      </c>
      <c r="H20" s="7">
        <v>1</v>
      </c>
      <c r="I20" s="18">
        <f t="shared" si="0"/>
        <v>112</v>
      </c>
      <c r="J20" s="18">
        <v>112</v>
      </c>
      <c r="K20" s="18"/>
      <c r="L20" s="18"/>
      <c r="M20" s="18"/>
      <c r="N20" s="135">
        <v>112</v>
      </c>
    </row>
    <row r="21" spans="1:15" x14ac:dyDescent="0.3">
      <c r="A21" t="s">
        <v>26</v>
      </c>
      <c r="B21" s="7"/>
      <c r="C21" s="7">
        <v>1</v>
      </c>
      <c r="D21" s="7">
        <v>1</v>
      </c>
      <c r="E21" s="7">
        <v>1</v>
      </c>
      <c r="F21" s="7">
        <v>1</v>
      </c>
      <c r="G21" s="7"/>
      <c r="H21" s="7">
        <v>1</v>
      </c>
      <c r="I21" s="18">
        <f t="shared" si="0"/>
        <v>87</v>
      </c>
      <c r="J21" s="18"/>
      <c r="K21" s="18">
        <v>82</v>
      </c>
      <c r="L21" s="18"/>
      <c r="M21" s="18"/>
      <c r="N21" s="135">
        <v>82</v>
      </c>
      <c r="O21" s="2">
        <v>-5</v>
      </c>
    </row>
    <row r="22" spans="1:15" x14ac:dyDescent="0.3">
      <c r="A22" t="s">
        <v>45</v>
      </c>
      <c r="B22" s="8"/>
      <c r="C22" s="8"/>
      <c r="D22" s="8"/>
      <c r="E22" s="8"/>
      <c r="F22" s="8"/>
      <c r="G22" s="8"/>
      <c r="H22" s="8"/>
      <c r="I22" s="18">
        <f t="shared" si="0"/>
        <v>0</v>
      </c>
      <c r="J22" s="18"/>
      <c r="K22" s="18"/>
      <c r="L22" s="18"/>
      <c r="M22" s="18"/>
      <c r="N22" s="18"/>
    </row>
    <row r="23" spans="1:15" x14ac:dyDescent="0.3">
      <c r="A23" t="s">
        <v>27</v>
      </c>
      <c r="B23" s="7"/>
      <c r="C23" s="7">
        <v>1</v>
      </c>
      <c r="D23" s="7">
        <v>1</v>
      </c>
      <c r="E23" s="7">
        <v>1</v>
      </c>
      <c r="F23" s="7">
        <v>1</v>
      </c>
      <c r="G23" s="7">
        <v>1</v>
      </c>
      <c r="H23" s="7">
        <v>1</v>
      </c>
      <c r="I23" s="18">
        <f t="shared" si="0"/>
        <v>112</v>
      </c>
      <c r="J23" s="18">
        <v>112</v>
      </c>
      <c r="K23" s="18"/>
      <c r="L23" s="18"/>
      <c r="M23" s="18"/>
      <c r="N23" s="135">
        <v>112</v>
      </c>
    </row>
    <row r="24" spans="1:15" x14ac:dyDescent="0.3">
      <c r="A24" t="s">
        <v>28</v>
      </c>
      <c r="B24" s="7"/>
      <c r="C24" s="7">
        <v>1</v>
      </c>
      <c r="D24" s="7">
        <v>1</v>
      </c>
      <c r="E24" s="7">
        <v>1</v>
      </c>
      <c r="F24" s="7">
        <v>1</v>
      </c>
      <c r="G24" s="7">
        <v>1</v>
      </c>
      <c r="H24" s="7">
        <v>1</v>
      </c>
      <c r="I24" s="18">
        <f t="shared" si="0"/>
        <v>112</v>
      </c>
      <c r="J24" s="18"/>
      <c r="K24" s="18">
        <v>112</v>
      </c>
      <c r="L24" s="18"/>
      <c r="M24" s="18"/>
      <c r="N24" s="135">
        <v>112</v>
      </c>
    </row>
    <row r="25" spans="1:15" x14ac:dyDescent="0.3">
      <c r="A25" t="s">
        <v>29</v>
      </c>
      <c r="B25" s="7">
        <v>1</v>
      </c>
      <c r="C25" s="7">
        <v>1</v>
      </c>
      <c r="D25" s="7">
        <v>1</v>
      </c>
      <c r="E25" s="7">
        <v>1</v>
      </c>
      <c r="F25" s="7">
        <v>1</v>
      </c>
      <c r="G25" s="7">
        <v>1</v>
      </c>
      <c r="H25" s="7">
        <v>1</v>
      </c>
      <c r="I25" s="18">
        <f t="shared" si="0"/>
        <v>137</v>
      </c>
      <c r="J25" s="18"/>
      <c r="K25" s="18"/>
      <c r="L25" s="18">
        <v>137</v>
      </c>
      <c r="M25" s="18"/>
      <c r="N25" s="135">
        <v>137</v>
      </c>
    </row>
    <row r="26" spans="1:15" x14ac:dyDescent="0.3">
      <c r="A26" t="s">
        <v>284</v>
      </c>
      <c r="I26" s="18">
        <f t="shared" si="0"/>
        <v>0</v>
      </c>
      <c r="J26" s="18"/>
      <c r="K26" s="18"/>
      <c r="L26" s="18"/>
      <c r="M26" s="18"/>
    </row>
    <row r="27" spans="1:15" x14ac:dyDescent="0.3">
      <c r="A27" t="s">
        <v>30</v>
      </c>
      <c r="C27">
        <v>2</v>
      </c>
      <c r="D27">
        <v>2</v>
      </c>
      <c r="E27">
        <v>2</v>
      </c>
      <c r="F27">
        <v>2</v>
      </c>
      <c r="G27">
        <v>1</v>
      </c>
      <c r="H27">
        <v>1</v>
      </c>
      <c r="I27" s="18">
        <f t="shared" si="0"/>
        <v>192</v>
      </c>
      <c r="J27" s="18"/>
      <c r="K27" s="18">
        <v>42</v>
      </c>
      <c r="L27" s="18"/>
      <c r="M27" s="18">
        <v>150</v>
      </c>
      <c r="N27" s="135">
        <v>192</v>
      </c>
    </row>
    <row r="28" spans="1:15" x14ac:dyDescent="0.3">
      <c r="A28" t="s">
        <v>31</v>
      </c>
      <c r="B28" s="8"/>
      <c r="C28" s="8"/>
      <c r="D28" s="8"/>
      <c r="E28" s="8"/>
      <c r="F28" s="8"/>
      <c r="G28" s="8"/>
      <c r="H28" s="8"/>
      <c r="I28" s="18">
        <f t="shared" si="0"/>
        <v>0</v>
      </c>
      <c r="J28" s="18"/>
      <c r="K28" s="18"/>
      <c r="L28" s="18"/>
      <c r="M28" s="18"/>
      <c r="N28" s="18"/>
    </row>
    <row r="29" spans="1:15" s="21" customFormat="1" x14ac:dyDescent="0.3">
      <c r="A29" s="134" t="s">
        <v>7</v>
      </c>
      <c r="B29" s="21">
        <f>SUM(B5:B28)</f>
        <v>5</v>
      </c>
      <c r="C29" s="21">
        <f>SUM(C5:C28)</f>
        <v>17</v>
      </c>
      <c r="D29" s="21">
        <f t="shared" ref="D29:M29" si="1">SUM(D5:D28)</f>
        <v>18</v>
      </c>
      <c r="E29" s="21">
        <f t="shared" si="1"/>
        <v>18</v>
      </c>
      <c r="F29" s="21">
        <f t="shared" si="1"/>
        <v>17</v>
      </c>
      <c r="G29" s="21">
        <f t="shared" si="1"/>
        <v>13</v>
      </c>
      <c r="H29" s="21">
        <f t="shared" si="1"/>
        <v>17</v>
      </c>
      <c r="I29" s="43">
        <f t="shared" si="1"/>
        <v>1979</v>
      </c>
      <c r="J29" s="18">
        <f t="shared" si="1"/>
        <v>1090</v>
      </c>
      <c r="K29" s="18">
        <f t="shared" si="1"/>
        <v>460</v>
      </c>
      <c r="L29" s="18">
        <f t="shared" si="1"/>
        <v>137</v>
      </c>
      <c r="M29" s="18">
        <f t="shared" si="1"/>
        <v>287</v>
      </c>
      <c r="N29" s="43"/>
      <c r="O29" s="2"/>
    </row>
    <row r="31" spans="1:15" x14ac:dyDescent="0.3">
      <c r="C31">
        <f>SUM(B29:E29)+G29</f>
        <v>71</v>
      </c>
      <c r="D31" t="s">
        <v>184</v>
      </c>
    </row>
    <row r="32" spans="1:15" x14ac:dyDescent="0.3">
      <c r="C32">
        <f>F29</f>
        <v>17</v>
      </c>
      <c r="D32" t="s">
        <v>285</v>
      </c>
    </row>
    <row r="33" spans="1:2" x14ac:dyDescent="0.3">
      <c r="A33" s="9"/>
      <c r="B33" s="10" t="s">
        <v>44</v>
      </c>
    </row>
    <row r="34" spans="1:2" x14ac:dyDescent="0.3">
      <c r="A34" s="7"/>
      <c r="B34" s="10" t="s">
        <v>42</v>
      </c>
    </row>
    <row r="35" spans="1:2" x14ac:dyDescent="0.3">
      <c r="A35" s="8"/>
      <c r="B35" s="10" t="s">
        <v>43</v>
      </c>
    </row>
  </sheetData>
  <mergeCells count="2">
    <mergeCell ref="B1:N1"/>
    <mergeCell ref="J2:N2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60" verticalDpi="360" r:id="rId1"/>
  <ignoredErrors>
    <ignoredError sqref="B29:H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AA853-A700-4D4A-A330-E45237B6DC68}">
  <sheetPr>
    <pageSetUpPr fitToPage="1"/>
  </sheetPr>
  <dimension ref="A1:R99"/>
  <sheetViews>
    <sheetView workbookViewId="0"/>
  </sheetViews>
  <sheetFormatPr defaultRowHeight="14.4" x14ac:dyDescent="0.3"/>
  <cols>
    <col min="1" max="1" width="11.88671875" bestFit="1" customWidth="1"/>
    <col min="2" max="2" width="25" bestFit="1" customWidth="1"/>
    <col min="3" max="3" width="9.88671875" bestFit="1" customWidth="1"/>
    <col min="4" max="4" width="13.33203125" bestFit="1" customWidth="1"/>
    <col min="5" max="5" width="13.33203125" customWidth="1"/>
    <col min="6" max="6" width="10.6640625" style="13" bestFit="1" customWidth="1"/>
    <col min="7" max="8" width="11" style="13" customWidth="1"/>
    <col min="9" max="9" width="11.77734375" style="13" customWidth="1"/>
    <col min="10" max="10" width="10.33203125" style="13" customWidth="1"/>
    <col min="11" max="11" width="9.6640625" bestFit="1" customWidth="1"/>
    <col min="12" max="12" width="9.6640625" style="13" customWidth="1"/>
    <col min="13" max="13" width="10.33203125" style="13" bestFit="1" customWidth="1"/>
    <col min="14" max="14" width="10.109375" style="13" customWidth="1"/>
    <col min="15" max="15" width="8.109375" style="13" customWidth="1"/>
    <col min="16" max="16" width="8.5546875" style="13" customWidth="1"/>
    <col min="17" max="17" width="10.44140625" style="13" customWidth="1"/>
    <col min="18" max="18" width="29.109375" customWidth="1"/>
  </cols>
  <sheetData>
    <row r="1" spans="1:18" ht="28.8" x14ac:dyDescent="0.3">
      <c r="B1" s="21" t="s">
        <v>56</v>
      </c>
      <c r="C1" s="21" t="s">
        <v>57</v>
      </c>
      <c r="D1" s="21" t="s">
        <v>58</v>
      </c>
      <c r="E1" s="21" t="s">
        <v>59</v>
      </c>
      <c r="F1" s="23" t="s">
        <v>60</v>
      </c>
      <c r="G1" s="143" t="s">
        <v>104</v>
      </c>
      <c r="H1" s="143" t="s">
        <v>105</v>
      </c>
      <c r="I1" s="23" t="s">
        <v>106</v>
      </c>
      <c r="J1" s="23" t="s">
        <v>61</v>
      </c>
      <c r="K1" s="21" t="s">
        <v>62</v>
      </c>
      <c r="L1" s="143" t="s">
        <v>63</v>
      </c>
      <c r="M1" s="143" t="s">
        <v>64</v>
      </c>
      <c r="N1" s="143" t="s">
        <v>65</v>
      </c>
      <c r="O1" s="143" t="s">
        <v>345</v>
      </c>
      <c r="P1" s="143" t="s">
        <v>346</v>
      </c>
      <c r="Q1" s="143" t="s">
        <v>347</v>
      </c>
      <c r="R1" s="142" t="s">
        <v>68</v>
      </c>
    </row>
    <row r="2" spans="1:18" x14ac:dyDescent="0.3">
      <c r="A2" s="41">
        <v>44996</v>
      </c>
      <c r="B2" t="s">
        <v>69</v>
      </c>
      <c r="C2" t="s">
        <v>70</v>
      </c>
      <c r="D2" t="s">
        <v>76</v>
      </c>
      <c r="E2" t="s">
        <v>29</v>
      </c>
      <c r="F2" s="13">
        <v>6</v>
      </c>
      <c r="G2" s="116">
        <v>405.09</v>
      </c>
      <c r="H2" s="116">
        <v>225</v>
      </c>
      <c r="I2" s="18">
        <v>0</v>
      </c>
      <c r="J2" s="151">
        <f t="shared" ref="J2:J3" si="0">IF(I2=0,G2-H2-I2,IF(G2-H2-I2&lt;0,0,G2-H2-I2))</f>
        <v>180.08999999999997</v>
      </c>
      <c r="K2" t="s">
        <v>348</v>
      </c>
      <c r="M2" s="148">
        <f>H2/3</f>
        <v>75</v>
      </c>
      <c r="N2" s="148">
        <f>M2/F2</f>
        <v>12.5</v>
      </c>
      <c r="O2" s="18">
        <f>H2/F2</f>
        <v>37.5</v>
      </c>
      <c r="P2" s="18">
        <f>G2/F2</f>
        <v>67.515000000000001</v>
      </c>
      <c r="Q2" s="18">
        <f t="shared" ref="Q2:Q13" si="1">(J2+L2)/F2</f>
        <v>30.014999999999997</v>
      </c>
    </row>
    <row r="3" spans="1:18" x14ac:dyDescent="0.3">
      <c r="A3" s="41">
        <v>45003</v>
      </c>
      <c r="B3" t="s">
        <v>69</v>
      </c>
      <c r="C3" t="s">
        <v>75</v>
      </c>
      <c r="D3" t="s">
        <v>286</v>
      </c>
      <c r="E3" t="s">
        <v>286</v>
      </c>
      <c r="F3" s="13">
        <v>4</v>
      </c>
      <c r="G3" s="116">
        <v>262.5</v>
      </c>
      <c r="H3" s="18">
        <v>0</v>
      </c>
      <c r="I3" s="18">
        <v>50</v>
      </c>
      <c r="J3" s="135">
        <f t="shared" si="0"/>
        <v>212.5</v>
      </c>
      <c r="K3" t="s">
        <v>79</v>
      </c>
      <c r="M3" s="148">
        <f t="shared" ref="M3:M14" si="2">H3/3</f>
        <v>0</v>
      </c>
      <c r="N3" s="148">
        <f t="shared" ref="N3:N14" si="3">M3/F3</f>
        <v>0</v>
      </c>
      <c r="O3" s="18">
        <f t="shared" ref="O3:O14" si="4">H3/F3</f>
        <v>0</v>
      </c>
      <c r="P3" s="18">
        <f t="shared" ref="P3:P14" si="5">G3/F3</f>
        <v>65.625</v>
      </c>
      <c r="Q3" s="18">
        <f t="shared" si="1"/>
        <v>53.125</v>
      </c>
      <c r="R3" t="s">
        <v>287</v>
      </c>
    </row>
    <row r="4" spans="1:18" x14ac:dyDescent="0.3">
      <c r="A4" s="41">
        <v>45003</v>
      </c>
      <c r="B4" t="s">
        <v>69</v>
      </c>
      <c r="C4" t="s">
        <v>78</v>
      </c>
      <c r="D4" t="s">
        <v>92</v>
      </c>
      <c r="E4" t="s">
        <v>82</v>
      </c>
      <c r="F4" s="13">
        <v>7</v>
      </c>
      <c r="G4" s="135">
        <v>603.54</v>
      </c>
      <c r="H4" s="135">
        <v>363</v>
      </c>
      <c r="I4" s="18">
        <v>0</v>
      </c>
      <c r="J4" s="18">
        <f>IF(I4=0,G4-H4-I4,IF(G4-H4-I4&lt;0,0,G4-H4-I4))</f>
        <v>240.53999999999996</v>
      </c>
      <c r="K4" t="s">
        <v>79</v>
      </c>
      <c r="M4" s="148">
        <f t="shared" si="2"/>
        <v>121</v>
      </c>
      <c r="N4" s="148">
        <f t="shared" si="3"/>
        <v>17.285714285714285</v>
      </c>
      <c r="O4" s="18">
        <f t="shared" si="4"/>
        <v>51.857142857142854</v>
      </c>
      <c r="P4" s="18">
        <f t="shared" si="5"/>
        <v>86.22</v>
      </c>
      <c r="Q4" s="18">
        <f t="shared" si="1"/>
        <v>34.362857142857138</v>
      </c>
    </row>
    <row r="5" spans="1:18" x14ac:dyDescent="0.3">
      <c r="A5" s="41">
        <v>45087</v>
      </c>
      <c r="B5" t="s">
        <v>80</v>
      </c>
      <c r="C5" t="s">
        <v>70</v>
      </c>
      <c r="D5" t="s">
        <v>71</v>
      </c>
      <c r="E5" t="s">
        <v>288</v>
      </c>
      <c r="F5" s="13">
        <v>7</v>
      </c>
      <c r="G5" s="116">
        <v>619</v>
      </c>
      <c r="H5" s="116">
        <v>385</v>
      </c>
      <c r="I5" s="18">
        <v>50</v>
      </c>
      <c r="J5" s="135">
        <f t="shared" ref="J5:J14" si="6">IF(I5=0,G5-H5-I5,IF(G5-H5-I5&lt;0,0,G5-H5-I5))</f>
        <v>184</v>
      </c>
      <c r="K5" t="s">
        <v>79</v>
      </c>
      <c r="M5" s="148">
        <f t="shared" si="2"/>
        <v>128.33333333333334</v>
      </c>
      <c r="N5" s="148">
        <f t="shared" si="3"/>
        <v>18.333333333333336</v>
      </c>
      <c r="O5" s="18">
        <f t="shared" si="4"/>
        <v>55</v>
      </c>
      <c r="P5" s="18">
        <f t="shared" si="5"/>
        <v>88.428571428571431</v>
      </c>
      <c r="Q5" s="18">
        <f t="shared" si="1"/>
        <v>26.285714285714285</v>
      </c>
    </row>
    <row r="6" spans="1:18" x14ac:dyDescent="0.3">
      <c r="A6" s="41">
        <v>45087</v>
      </c>
      <c r="B6" t="s">
        <v>80</v>
      </c>
      <c r="C6" t="s">
        <v>75</v>
      </c>
      <c r="D6" t="s">
        <v>283</v>
      </c>
      <c r="E6" t="s">
        <v>283</v>
      </c>
      <c r="F6" s="13">
        <v>4</v>
      </c>
      <c r="G6" s="116">
        <v>261</v>
      </c>
      <c r="H6" s="116">
        <v>175.4</v>
      </c>
      <c r="I6" s="18">
        <v>50</v>
      </c>
      <c r="J6" s="135">
        <f t="shared" si="6"/>
        <v>35.599999999999994</v>
      </c>
      <c r="K6" t="s">
        <v>79</v>
      </c>
      <c r="M6" s="148">
        <f t="shared" si="2"/>
        <v>58.466666666666669</v>
      </c>
      <c r="N6" s="148">
        <f t="shared" si="3"/>
        <v>14.616666666666667</v>
      </c>
      <c r="O6" s="18">
        <f t="shared" si="4"/>
        <v>43.85</v>
      </c>
      <c r="P6" s="18">
        <f t="shared" si="5"/>
        <v>65.25</v>
      </c>
      <c r="Q6" s="18">
        <f t="shared" si="1"/>
        <v>8.8999999999999986</v>
      </c>
      <c r="R6" s="121"/>
    </row>
    <row r="7" spans="1:18" x14ac:dyDescent="0.3">
      <c r="A7" s="41">
        <v>45087</v>
      </c>
      <c r="B7" t="s">
        <v>80</v>
      </c>
      <c r="C7" t="s">
        <v>78</v>
      </c>
      <c r="D7" t="s">
        <v>92</v>
      </c>
      <c r="E7" t="s">
        <v>82</v>
      </c>
      <c r="F7" s="13">
        <v>6</v>
      </c>
      <c r="G7" s="135">
        <v>603.54</v>
      </c>
      <c r="H7" s="135">
        <v>308</v>
      </c>
      <c r="I7" s="18">
        <v>0</v>
      </c>
      <c r="J7" s="18">
        <f t="shared" si="6"/>
        <v>295.53999999999996</v>
      </c>
      <c r="K7" t="s">
        <v>79</v>
      </c>
      <c r="M7" s="148">
        <f t="shared" si="2"/>
        <v>102.66666666666667</v>
      </c>
      <c r="N7" s="148">
        <f t="shared" si="3"/>
        <v>17.111111111111111</v>
      </c>
      <c r="O7" s="18">
        <f t="shared" si="4"/>
        <v>51.333333333333336</v>
      </c>
      <c r="P7" s="18">
        <f t="shared" si="5"/>
        <v>100.58999999999999</v>
      </c>
      <c r="Q7" s="18">
        <f t="shared" si="1"/>
        <v>49.256666666666661</v>
      </c>
    </row>
    <row r="8" spans="1:18" x14ac:dyDescent="0.3">
      <c r="A8" s="41">
        <v>45199</v>
      </c>
      <c r="B8" t="s">
        <v>85</v>
      </c>
      <c r="C8" t="s">
        <v>70</v>
      </c>
      <c r="D8" t="s">
        <v>19</v>
      </c>
      <c r="E8" t="s">
        <v>19</v>
      </c>
      <c r="F8" s="13">
        <v>5</v>
      </c>
      <c r="G8" s="18"/>
      <c r="I8" s="18">
        <v>50</v>
      </c>
      <c r="J8" s="18">
        <f t="shared" si="6"/>
        <v>0</v>
      </c>
      <c r="K8" t="s">
        <v>289</v>
      </c>
      <c r="M8" s="148">
        <f t="shared" si="2"/>
        <v>0</v>
      </c>
      <c r="N8" s="148">
        <f t="shared" si="3"/>
        <v>0</v>
      </c>
      <c r="O8" s="18">
        <f t="shared" si="4"/>
        <v>0</v>
      </c>
      <c r="P8" s="18">
        <f t="shared" si="5"/>
        <v>0</v>
      </c>
      <c r="Q8" s="18">
        <f t="shared" si="1"/>
        <v>0</v>
      </c>
    </row>
    <row r="9" spans="1:18" x14ac:dyDescent="0.3">
      <c r="A9" s="41">
        <v>45199</v>
      </c>
      <c r="B9" t="s">
        <v>85</v>
      </c>
      <c r="C9" t="s">
        <v>75</v>
      </c>
      <c r="D9" t="s">
        <v>76</v>
      </c>
      <c r="E9" t="s">
        <v>29</v>
      </c>
      <c r="F9" s="13">
        <v>4</v>
      </c>
      <c r="G9" s="116">
        <v>496.65</v>
      </c>
      <c r="H9" s="116">
        <v>228.72</v>
      </c>
      <c r="I9" s="18">
        <v>0</v>
      </c>
      <c r="J9" s="151">
        <f t="shared" si="6"/>
        <v>267.92999999999995</v>
      </c>
      <c r="K9" t="s">
        <v>79</v>
      </c>
      <c r="M9" s="148">
        <f t="shared" si="2"/>
        <v>76.239999999999995</v>
      </c>
      <c r="N9" s="148">
        <f t="shared" si="3"/>
        <v>19.059999999999999</v>
      </c>
      <c r="O9" s="18">
        <f t="shared" si="4"/>
        <v>57.18</v>
      </c>
      <c r="P9" s="18">
        <f t="shared" si="5"/>
        <v>124.16249999999999</v>
      </c>
      <c r="Q9" s="18">
        <f t="shared" si="1"/>
        <v>66.982499999999987</v>
      </c>
    </row>
    <row r="10" spans="1:18" x14ac:dyDescent="0.3">
      <c r="A10" s="41">
        <v>45199</v>
      </c>
      <c r="B10" t="s">
        <v>85</v>
      </c>
      <c r="C10" t="s">
        <v>78</v>
      </c>
      <c r="D10" t="s">
        <v>92</v>
      </c>
      <c r="E10" t="s">
        <v>82</v>
      </c>
      <c r="F10" s="13">
        <v>7</v>
      </c>
      <c r="G10" s="135">
        <v>603.54</v>
      </c>
      <c r="H10" s="135">
        <v>239.25</v>
      </c>
      <c r="I10" s="18">
        <v>0</v>
      </c>
      <c r="J10" s="18">
        <f t="shared" si="6"/>
        <v>364.28999999999996</v>
      </c>
      <c r="K10" t="s">
        <v>79</v>
      </c>
      <c r="M10" s="148">
        <f t="shared" si="2"/>
        <v>79.75</v>
      </c>
      <c r="N10" s="148">
        <f t="shared" si="3"/>
        <v>11.392857142857142</v>
      </c>
      <c r="O10" s="18">
        <f t="shared" si="4"/>
        <v>34.178571428571431</v>
      </c>
      <c r="P10" s="18">
        <f t="shared" si="5"/>
        <v>86.22</v>
      </c>
      <c r="Q10" s="18">
        <f t="shared" si="1"/>
        <v>52.041428571428568</v>
      </c>
    </row>
    <row r="11" spans="1:18" x14ac:dyDescent="0.3">
      <c r="A11" s="41">
        <v>45206</v>
      </c>
      <c r="B11" t="s">
        <v>86</v>
      </c>
      <c r="C11" t="s">
        <v>70</v>
      </c>
      <c r="D11" t="s">
        <v>76</v>
      </c>
      <c r="E11" t="s">
        <v>29</v>
      </c>
      <c r="F11" s="13">
        <v>4</v>
      </c>
      <c r="G11" s="116">
        <v>413.88</v>
      </c>
      <c r="H11" s="116">
        <v>274.44</v>
      </c>
      <c r="I11" s="18">
        <v>0</v>
      </c>
      <c r="J11" s="151">
        <f t="shared" si="6"/>
        <v>139.44</v>
      </c>
      <c r="K11" t="s">
        <v>79</v>
      </c>
      <c r="M11" s="148">
        <f t="shared" si="2"/>
        <v>91.48</v>
      </c>
      <c r="N11" s="148">
        <f t="shared" si="3"/>
        <v>22.87</v>
      </c>
      <c r="O11" s="18">
        <f t="shared" si="4"/>
        <v>68.61</v>
      </c>
      <c r="P11" s="18">
        <f t="shared" si="5"/>
        <v>103.47</v>
      </c>
      <c r="Q11" s="18">
        <f t="shared" si="1"/>
        <v>34.86</v>
      </c>
    </row>
    <row r="12" spans="1:18" x14ac:dyDescent="0.3">
      <c r="A12" s="41">
        <v>45206</v>
      </c>
      <c r="B12" t="s">
        <v>86</v>
      </c>
      <c r="C12" t="s">
        <v>87</v>
      </c>
      <c r="D12" t="s">
        <v>349</v>
      </c>
      <c r="F12" s="13">
        <v>4</v>
      </c>
      <c r="G12" s="18"/>
      <c r="H12" s="144"/>
      <c r="I12" s="18">
        <v>0</v>
      </c>
      <c r="J12" s="18">
        <f t="shared" si="6"/>
        <v>0</v>
      </c>
      <c r="M12" s="148">
        <f t="shared" si="2"/>
        <v>0</v>
      </c>
      <c r="N12" s="148">
        <f t="shared" si="3"/>
        <v>0</v>
      </c>
      <c r="O12" s="18">
        <f t="shared" si="4"/>
        <v>0</v>
      </c>
      <c r="P12" s="18">
        <f t="shared" si="5"/>
        <v>0</v>
      </c>
      <c r="Q12" s="18">
        <f t="shared" si="1"/>
        <v>0</v>
      </c>
    </row>
    <row r="13" spans="1:18" x14ac:dyDescent="0.3">
      <c r="A13" s="41">
        <v>45234</v>
      </c>
      <c r="B13" t="s">
        <v>5</v>
      </c>
      <c r="C13" t="s">
        <v>88</v>
      </c>
      <c r="D13" t="s">
        <v>71</v>
      </c>
      <c r="E13" t="s">
        <v>288</v>
      </c>
      <c r="F13" s="13">
        <v>2</v>
      </c>
      <c r="G13" s="135">
        <v>516</v>
      </c>
      <c r="H13" s="116">
        <v>122</v>
      </c>
      <c r="I13" s="18">
        <v>50</v>
      </c>
      <c r="J13" s="135">
        <f t="shared" si="6"/>
        <v>344</v>
      </c>
      <c r="K13" t="s">
        <v>289</v>
      </c>
      <c r="M13" s="148">
        <f t="shared" si="2"/>
        <v>40.666666666666664</v>
      </c>
      <c r="N13" s="148">
        <f t="shared" si="3"/>
        <v>20.333333333333332</v>
      </c>
      <c r="O13" s="18">
        <f t="shared" si="4"/>
        <v>61</v>
      </c>
      <c r="P13" s="18">
        <f t="shared" si="5"/>
        <v>258</v>
      </c>
      <c r="Q13" s="18">
        <f t="shared" si="1"/>
        <v>172</v>
      </c>
      <c r="R13" t="s">
        <v>350</v>
      </c>
    </row>
    <row r="14" spans="1:18" x14ac:dyDescent="0.3">
      <c r="A14" s="41">
        <v>45234</v>
      </c>
      <c r="B14" t="s">
        <v>5</v>
      </c>
      <c r="C14" t="s">
        <v>91</v>
      </c>
      <c r="D14" t="s">
        <v>92</v>
      </c>
      <c r="E14" t="s">
        <v>82</v>
      </c>
      <c r="F14" s="13">
        <v>6</v>
      </c>
      <c r="G14" s="135">
        <v>603.54</v>
      </c>
      <c r="H14" s="135">
        <v>318.70999999999998</v>
      </c>
      <c r="I14" s="18">
        <v>0</v>
      </c>
      <c r="J14" s="18">
        <f t="shared" si="6"/>
        <v>284.83</v>
      </c>
      <c r="K14" t="s">
        <v>79</v>
      </c>
      <c r="L14" s="18"/>
      <c r="M14" s="148">
        <f t="shared" si="2"/>
        <v>106.23666666666666</v>
      </c>
      <c r="N14" s="148">
        <f t="shared" si="3"/>
        <v>17.70611111111111</v>
      </c>
      <c r="O14" s="18">
        <f t="shared" si="4"/>
        <v>53.118333333333332</v>
      </c>
      <c r="P14" s="18">
        <f t="shared" si="5"/>
        <v>100.58999999999999</v>
      </c>
      <c r="Q14" s="18">
        <f>(J14+L14)/F14</f>
        <v>47.471666666666664</v>
      </c>
    </row>
    <row r="15" spans="1:18" s="21" customFormat="1" x14ac:dyDescent="0.3">
      <c r="B15" s="21" t="s">
        <v>7</v>
      </c>
      <c r="F15" s="23"/>
      <c r="G15" s="43">
        <f>SUM(G2:G14)</f>
        <v>5388.28</v>
      </c>
      <c r="H15" s="43">
        <f>SUM(H2:H14)</f>
        <v>2639.52</v>
      </c>
      <c r="I15" s="23"/>
      <c r="J15" s="43">
        <f>SUM(J2:J14)</f>
        <v>2548.7599999999998</v>
      </c>
      <c r="L15" s="23"/>
      <c r="M15" s="150">
        <f>SUM(M2:M14)</f>
        <v>879.84</v>
      </c>
      <c r="N15" s="23"/>
      <c r="O15" s="23"/>
      <c r="P15" s="23"/>
      <c r="Q15" s="23"/>
    </row>
    <row r="16" spans="1:18" s="21" customFormat="1" x14ac:dyDescent="0.3">
      <c r="B16" s="21" t="s">
        <v>93</v>
      </c>
      <c r="F16" s="23"/>
      <c r="G16" s="23"/>
      <c r="H16" s="23"/>
      <c r="I16" s="23"/>
      <c r="J16" s="43">
        <f>J20*K20</f>
        <v>1775</v>
      </c>
      <c r="L16" s="23"/>
      <c r="M16" s="23"/>
      <c r="N16" s="23"/>
      <c r="O16" s="23"/>
      <c r="P16" s="23"/>
      <c r="Q16" s="23"/>
    </row>
    <row r="17" spans="1:18" x14ac:dyDescent="0.3">
      <c r="B17" t="s">
        <v>351</v>
      </c>
      <c r="H17" s="18"/>
      <c r="J17" s="18">
        <f>(J15-J16)/J21</f>
        <v>45.515294117647045</v>
      </c>
    </row>
    <row r="18" spans="1:18" x14ac:dyDescent="0.3">
      <c r="B18" t="s">
        <v>95</v>
      </c>
      <c r="J18" s="18">
        <f>(J15-J16)/M15</f>
        <v>0.87943262411347489</v>
      </c>
    </row>
    <row r="19" spans="1:18" x14ac:dyDescent="0.3">
      <c r="B19" s="9" t="s">
        <v>290</v>
      </c>
      <c r="H19" s="13" t="s">
        <v>96</v>
      </c>
      <c r="J19" s="13">
        <v>17</v>
      </c>
      <c r="K19" s="2">
        <v>7</v>
      </c>
    </row>
    <row r="20" spans="1:18" x14ac:dyDescent="0.3">
      <c r="B20" s="7" t="s">
        <v>97</v>
      </c>
      <c r="C20" s="128" t="s">
        <v>352</v>
      </c>
      <c r="D20" s="128">
        <f>J2+J9+J11</f>
        <v>587.45999999999992</v>
      </c>
      <c r="H20" s="13" t="s">
        <v>291</v>
      </c>
      <c r="J20" s="13">
        <v>71</v>
      </c>
      <c r="K20" s="2">
        <v>25</v>
      </c>
    </row>
    <row r="21" spans="1:18" x14ac:dyDescent="0.3">
      <c r="B21" s="8" t="s">
        <v>98</v>
      </c>
      <c r="H21" s="13" t="s">
        <v>292</v>
      </c>
      <c r="J21" s="13">
        <v>17</v>
      </c>
      <c r="K21" s="2">
        <v>5</v>
      </c>
    </row>
    <row r="22" spans="1:18" x14ac:dyDescent="0.3">
      <c r="B22" s="129" t="s">
        <v>353</v>
      </c>
    </row>
    <row r="24" spans="1:18" x14ac:dyDescent="0.3">
      <c r="A24" s="127" t="s">
        <v>354</v>
      </c>
      <c r="B24" s="21"/>
    </row>
    <row r="25" spans="1:18" ht="28.8" x14ac:dyDescent="0.3">
      <c r="A25" s="119">
        <v>45003</v>
      </c>
      <c r="B25" t="s">
        <v>69</v>
      </c>
      <c r="C25" t="s">
        <v>78</v>
      </c>
      <c r="D25" t="s">
        <v>355</v>
      </c>
      <c r="E25" t="s">
        <v>82</v>
      </c>
      <c r="F25" s="13">
        <v>0</v>
      </c>
      <c r="G25" s="135">
        <v>215.24</v>
      </c>
      <c r="H25" s="18">
        <v>0</v>
      </c>
      <c r="I25" s="18">
        <v>0</v>
      </c>
      <c r="J25" s="18">
        <f t="shared" ref="J25" si="7">IF(I25=0,G25-H25-I25,IF(G25-H25-I25&lt;0,0,G25-H25-I25))</f>
        <v>215.24</v>
      </c>
      <c r="K25" t="s">
        <v>356</v>
      </c>
      <c r="M25" s="13">
        <v>0</v>
      </c>
      <c r="N25" s="13">
        <v>0</v>
      </c>
      <c r="O25" s="18">
        <v>0</v>
      </c>
      <c r="P25" s="18">
        <v>0</v>
      </c>
      <c r="Q25" s="18">
        <v>0</v>
      </c>
      <c r="R25" s="121" t="s">
        <v>357</v>
      </c>
    </row>
    <row r="26" spans="1:18" x14ac:dyDescent="0.3">
      <c r="B26" t="s">
        <v>293</v>
      </c>
    </row>
    <row r="27" spans="1:18" x14ac:dyDescent="0.3">
      <c r="G27" s="13" t="s">
        <v>294</v>
      </c>
      <c r="H27" s="13" t="s">
        <v>210</v>
      </c>
      <c r="I27" s="13" t="s">
        <v>358</v>
      </c>
    </row>
    <row r="28" spans="1:18" x14ac:dyDescent="0.3">
      <c r="B28" t="s">
        <v>6</v>
      </c>
      <c r="H28" s="18">
        <f>J19*K19</f>
        <v>119</v>
      </c>
    </row>
    <row r="29" spans="1:18" x14ac:dyDescent="0.3">
      <c r="A29" s="119">
        <v>44963</v>
      </c>
      <c r="B29" t="s">
        <v>295</v>
      </c>
      <c r="G29" s="135">
        <v>14.6</v>
      </c>
    </row>
    <row r="30" spans="1:18" x14ac:dyDescent="0.3">
      <c r="A30" s="119">
        <v>44979</v>
      </c>
      <c r="B30" t="s">
        <v>296</v>
      </c>
      <c r="G30" s="135">
        <v>180</v>
      </c>
    </row>
    <row r="31" spans="1:18" x14ac:dyDescent="0.3">
      <c r="A31" s="119">
        <v>45076</v>
      </c>
      <c r="B31" t="s">
        <v>297</v>
      </c>
      <c r="G31" s="135">
        <v>100.66</v>
      </c>
    </row>
    <row r="32" spans="1:18" x14ac:dyDescent="0.3">
      <c r="A32" s="119">
        <v>45076</v>
      </c>
      <c r="B32" t="s">
        <v>298</v>
      </c>
      <c r="G32" s="135">
        <v>14.39</v>
      </c>
    </row>
    <row r="33" spans="1:15" x14ac:dyDescent="0.3">
      <c r="A33" s="119" t="s">
        <v>359</v>
      </c>
      <c r="B33" t="s">
        <v>360</v>
      </c>
      <c r="G33" s="18">
        <v>23.88</v>
      </c>
      <c r="J33" s="13" t="s">
        <v>361</v>
      </c>
    </row>
    <row r="34" spans="1:15" x14ac:dyDescent="0.3">
      <c r="A34" s="119"/>
      <c r="B34" t="s">
        <v>7</v>
      </c>
      <c r="G34" s="18">
        <f>SUM(G28:G33)</f>
        <v>333.53</v>
      </c>
      <c r="H34" s="18">
        <f>SUM(H28:H33)</f>
        <v>119</v>
      </c>
      <c r="I34" s="18">
        <f>G34/J19</f>
        <v>19.61941176470588</v>
      </c>
      <c r="J34" s="13" t="s">
        <v>362</v>
      </c>
      <c r="O34" s="18"/>
    </row>
    <row r="35" spans="1:15" x14ac:dyDescent="0.3">
      <c r="G35" s="18"/>
    </row>
    <row r="36" spans="1:15" x14ac:dyDescent="0.3">
      <c r="A36" s="127" t="s">
        <v>222</v>
      </c>
      <c r="G36" s="18"/>
    </row>
    <row r="37" spans="1:15" ht="28.8" x14ac:dyDescent="0.3">
      <c r="B37" s="21" t="s">
        <v>299</v>
      </c>
      <c r="E37" s="121" t="s">
        <v>300</v>
      </c>
      <c r="F37" s="145" t="s">
        <v>301</v>
      </c>
      <c r="G37" s="145" t="s">
        <v>302</v>
      </c>
      <c r="H37" s="13" t="s">
        <v>303</v>
      </c>
      <c r="I37" s="145" t="s">
        <v>304</v>
      </c>
      <c r="J37" s="145" t="s">
        <v>305</v>
      </c>
      <c r="K37" s="121"/>
    </row>
    <row r="38" spans="1:15" x14ac:dyDescent="0.3">
      <c r="A38" s="119">
        <v>45076</v>
      </c>
      <c r="B38" t="s">
        <v>306</v>
      </c>
      <c r="G38" s="135">
        <v>34.5</v>
      </c>
      <c r="H38" s="18">
        <f>(E38+F38+G38)/10</f>
        <v>3.45</v>
      </c>
    </row>
    <row r="39" spans="1:15" x14ac:dyDescent="0.3">
      <c r="A39" s="162" t="s">
        <v>363</v>
      </c>
      <c r="B39" t="s">
        <v>308</v>
      </c>
      <c r="E39" s="2"/>
      <c r="G39" s="135">
        <f>27.5+5.5+5.83+1.17+15+3</f>
        <v>58</v>
      </c>
      <c r="H39" s="18">
        <f t="shared" ref="H39:H53" si="8">(E39+F39+G39)/10</f>
        <v>5.8</v>
      </c>
      <c r="J39" s="13" t="s">
        <v>364</v>
      </c>
      <c r="L39" s="13" t="s">
        <v>365</v>
      </c>
      <c r="N39" s="149" t="s">
        <v>309</v>
      </c>
    </row>
    <row r="40" spans="1:15" x14ac:dyDescent="0.3">
      <c r="A40" s="162"/>
      <c r="B40" t="s">
        <v>366</v>
      </c>
      <c r="E40" s="2"/>
      <c r="G40" s="135">
        <f>95.83+19.17+5.83+1.17+22.5+4.5+12.5+2.5</f>
        <v>164</v>
      </c>
      <c r="H40" s="18">
        <f t="shared" si="8"/>
        <v>16.399999999999999</v>
      </c>
      <c r="J40" s="13" t="s">
        <v>364</v>
      </c>
      <c r="L40" s="13" t="s">
        <v>367</v>
      </c>
    </row>
    <row r="41" spans="1:15" x14ac:dyDescent="0.3">
      <c r="A41" s="123">
        <v>42930</v>
      </c>
      <c r="B41" t="s">
        <v>310</v>
      </c>
      <c r="F41" s="18">
        <f>74.99+45</f>
        <v>119.99</v>
      </c>
      <c r="H41" s="18">
        <f t="shared" si="8"/>
        <v>11.998999999999999</v>
      </c>
      <c r="J41" s="13" t="s">
        <v>25</v>
      </c>
    </row>
    <row r="42" spans="1:15" x14ac:dyDescent="0.3">
      <c r="A42" s="123">
        <v>44720</v>
      </c>
      <c r="B42" t="s">
        <v>311</v>
      </c>
      <c r="F42" s="18">
        <f>172.5/3</f>
        <v>57.5</v>
      </c>
      <c r="G42" s="18"/>
      <c r="H42" s="18">
        <f t="shared" si="8"/>
        <v>5.75</v>
      </c>
      <c r="J42" s="13" t="s">
        <v>28</v>
      </c>
    </row>
    <row r="43" spans="1:15" x14ac:dyDescent="0.3">
      <c r="A43" s="123">
        <v>44720</v>
      </c>
      <c r="B43" t="s">
        <v>312</v>
      </c>
      <c r="F43" s="18">
        <f>172.5/3</f>
        <v>57.5</v>
      </c>
      <c r="G43" s="18"/>
      <c r="H43" s="18">
        <f t="shared" si="8"/>
        <v>5.75</v>
      </c>
      <c r="J43" s="13" t="s">
        <v>29</v>
      </c>
    </row>
    <row r="44" spans="1:15" x14ac:dyDescent="0.3">
      <c r="A44" s="123">
        <v>44720</v>
      </c>
      <c r="B44" t="s">
        <v>313</v>
      </c>
      <c r="F44" s="18">
        <f>172.5/3</f>
        <v>57.5</v>
      </c>
      <c r="G44" s="18"/>
      <c r="H44" s="18">
        <f t="shared" si="8"/>
        <v>5.75</v>
      </c>
      <c r="J44" s="13" t="s">
        <v>314</v>
      </c>
    </row>
    <row r="45" spans="1:15" x14ac:dyDescent="0.3">
      <c r="A45" s="123">
        <v>44811</v>
      </c>
      <c r="B45" t="s">
        <v>315</v>
      </c>
      <c r="F45" s="18">
        <f t="shared" ref="F45:F47" si="9">174/3</f>
        <v>58</v>
      </c>
      <c r="G45" s="18"/>
      <c r="H45" s="18">
        <f t="shared" si="8"/>
        <v>5.8</v>
      </c>
      <c r="J45" s="13" t="s">
        <v>28</v>
      </c>
    </row>
    <row r="46" spans="1:15" x14ac:dyDescent="0.3">
      <c r="A46" s="123">
        <v>44811</v>
      </c>
      <c r="B46" t="s">
        <v>316</v>
      </c>
      <c r="F46" s="18">
        <f>174/3</f>
        <v>58</v>
      </c>
      <c r="G46" s="18"/>
      <c r="H46" s="18">
        <f t="shared" si="8"/>
        <v>5.8</v>
      </c>
      <c r="J46" s="13" t="s">
        <v>16</v>
      </c>
    </row>
    <row r="47" spans="1:15" x14ac:dyDescent="0.3">
      <c r="A47" s="123">
        <v>44811</v>
      </c>
      <c r="B47" t="s">
        <v>317</v>
      </c>
      <c r="F47" s="18">
        <f t="shared" si="9"/>
        <v>58</v>
      </c>
      <c r="G47" s="18"/>
      <c r="H47" s="18">
        <f t="shared" si="8"/>
        <v>5.8</v>
      </c>
      <c r="J47" s="13" t="s">
        <v>45</v>
      </c>
    </row>
    <row r="48" spans="1:15" x14ac:dyDescent="0.3">
      <c r="A48" s="19"/>
      <c r="B48" t="s">
        <v>318</v>
      </c>
      <c r="E48" s="122">
        <v>125</v>
      </c>
      <c r="F48" s="18"/>
      <c r="G48" s="18"/>
      <c r="H48" s="18">
        <f t="shared" si="8"/>
        <v>12.5</v>
      </c>
      <c r="J48" s="13" t="s">
        <v>28</v>
      </c>
    </row>
    <row r="49" spans="1:12" x14ac:dyDescent="0.3">
      <c r="A49" s="124" t="s">
        <v>319</v>
      </c>
      <c r="B49" t="s">
        <v>320</v>
      </c>
      <c r="E49" s="122">
        <v>125</v>
      </c>
      <c r="F49" s="18"/>
      <c r="G49" s="18"/>
      <c r="H49" s="18">
        <f t="shared" si="8"/>
        <v>12.5</v>
      </c>
      <c r="J49" s="13" t="s">
        <v>19</v>
      </c>
    </row>
    <row r="50" spans="1:12" x14ac:dyDescent="0.3">
      <c r="A50" s="123">
        <v>43021</v>
      </c>
      <c r="B50" t="s">
        <v>321</v>
      </c>
      <c r="F50" s="18">
        <f>73.99+45+3.9</f>
        <v>122.89</v>
      </c>
      <c r="G50" s="18"/>
      <c r="H50" s="18">
        <f t="shared" si="8"/>
        <v>12.289</v>
      </c>
      <c r="J50" s="13" t="s">
        <v>17</v>
      </c>
      <c r="L50" s="13" t="s">
        <v>368</v>
      </c>
    </row>
    <row r="51" spans="1:12" x14ac:dyDescent="0.3">
      <c r="A51" s="19" t="s">
        <v>323</v>
      </c>
      <c r="B51" t="s">
        <v>324</v>
      </c>
      <c r="E51" s="122">
        <v>125</v>
      </c>
      <c r="F51" s="18"/>
      <c r="G51" s="18"/>
      <c r="H51" s="18">
        <f t="shared" si="8"/>
        <v>12.5</v>
      </c>
      <c r="J51" s="13" t="s">
        <v>30</v>
      </c>
      <c r="L51" s="13" t="s">
        <v>369</v>
      </c>
    </row>
    <row r="52" spans="1:12" x14ac:dyDescent="0.3">
      <c r="A52" s="19" t="s">
        <v>325</v>
      </c>
      <c r="B52" t="s">
        <v>326</v>
      </c>
      <c r="E52" s="122">
        <v>125</v>
      </c>
      <c r="F52" s="18"/>
      <c r="G52" s="146"/>
      <c r="H52" s="18">
        <f t="shared" si="8"/>
        <v>12.5</v>
      </c>
      <c r="J52" s="147"/>
      <c r="L52" s="13" t="s">
        <v>327</v>
      </c>
    </row>
    <row r="53" spans="1:12" x14ac:dyDescent="0.3">
      <c r="A53" s="19" t="s">
        <v>323</v>
      </c>
      <c r="B53" t="s">
        <v>328</v>
      </c>
      <c r="E53" s="122">
        <v>125</v>
      </c>
      <c r="F53" s="18"/>
      <c r="G53" s="18"/>
      <c r="H53" s="18">
        <f t="shared" si="8"/>
        <v>12.5</v>
      </c>
      <c r="J53" s="13" t="s">
        <v>14</v>
      </c>
      <c r="L53" s="13" t="s">
        <v>322</v>
      </c>
    </row>
    <row r="54" spans="1:12" x14ac:dyDescent="0.3">
      <c r="A54" s="19"/>
      <c r="B54" t="s">
        <v>7</v>
      </c>
      <c r="F54" s="18"/>
      <c r="G54" s="18">
        <f>SUM(G38:G53)</f>
        <v>256.5</v>
      </c>
      <c r="H54" s="18">
        <f>SUM(H38:H53)</f>
        <v>147.08799999999999</v>
      </c>
      <c r="I54" s="18">
        <f>H54/J20</f>
        <v>2.0716619718309857</v>
      </c>
    </row>
    <row r="57" spans="1:12" ht="28.8" x14ac:dyDescent="0.3">
      <c r="B57" s="21" t="s">
        <v>329</v>
      </c>
      <c r="E57" s="121" t="s">
        <v>300</v>
      </c>
      <c r="F57" s="145" t="s">
        <v>301</v>
      </c>
      <c r="G57" s="145" t="s">
        <v>302</v>
      </c>
      <c r="H57" s="13" t="s">
        <v>303</v>
      </c>
      <c r="I57" s="145" t="s">
        <v>304</v>
      </c>
    </row>
    <row r="58" spans="1:12" x14ac:dyDescent="0.3">
      <c r="A58" t="s">
        <v>323</v>
      </c>
      <c r="B58" t="s">
        <v>330</v>
      </c>
      <c r="E58" s="122">
        <v>125</v>
      </c>
      <c r="G58" s="18"/>
      <c r="H58" s="18">
        <f t="shared" ref="H58:H69" si="10">(E58+F58+G58)/10</f>
        <v>12.5</v>
      </c>
      <c r="I58" s="18"/>
      <c r="J58" s="13" t="s">
        <v>28</v>
      </c>
    </row>
    <row r="59" spans="1:12" x14ac:dyDescent="0.3">
      <c r="A59" t="s">
        <v>323</v>
      </c>
      <c r="B59" t="s">
        <v>331</v>
      </c>
      <c r="E59" s="122">
        <v>115</v>
      </c>
      <c r="G59" s="18"/>
      <c r="H59" s="18">
        <f t="shared" si="10"/>
        <v>11.5</v>
      </c>
      <c r="I59" s="18"/>
      <c r="J59" s="13" t="s">
        <v>28</v>
      </c>
    </row>
    <row r="60" spans="1:12" x14ac:dyDescent="0.3">
      <c r="A60" t="s">
        <v>323</v>
      </c>
      <c r="B60" t="s">
        <v>332</v>
      </c>
      <c r="E60" s="122">
        <v>115</v>
      </c>
      <c r="G60" s="18"/>
      <c r="H60" s="18">
        <f t="shared" si="10"/>
        <v>11.5</v>
      </c>
      <c r="I60" s="18"/>
      <c r="J60" s="13" t="s">
        <v>28</v>
      </c>
    </row>
    <row r="61" spans="1:12" x14ac:dyDescent="0.3">
      <c r="A61" t="s">
        <v>307</v>
      </c>
      <c r="B61" t="s">
        <v>370</v>
      </c>
      <c r="G61" s="135">
        <f>57.46+11.49+33.33+6.67</f>
        <v>108.95</v>
      </c>
      <c r="H61" s="18">
        <f t="shared" si="10"/>
        <v>10.895</v>
      </c>
      <c r="I61" s="18"/>
      <c r="J61" s="13" t="s">
        <v>371</v>
      </c>
    </row>
    <row r="62" spans="1:12" x14ac:dyDescent="0.3">
      <c r="A62" s="119">
        <v>42658</v>
      </c>
      <c r="B62" t="s">
        <v>333</v>
      </c>
      <c r="F62" s="18">
        <v>49.99</v>
      </c>
      <c r="G62" s="146"/>
      <c r="H62" s="18">
        <f t="shared" si="10"/>
        <v>4.9990000000000006</v>
      </c>
      <c r="I62" s="18"/>
      <c r="J62" s="147" t="s">
        <v>334</v>
      </c>
      <c r="L62" s="13" t="s">
        <v>335</v>
      </c>
    </row>
    <row r="63" spans="1:12" x14ac:dyDescent="0.3">
      <c r="A63" s="119" t="s">
        <v>336</v>
      </c>
      <c r="B63" t="s">
        <v>337</v>
      </c>
      <c r="E63" s="122">
        <v>115</v>
      </c>
      <c r="G63" s="146"/>
      <c r="H63" s="18">
        <f t="shared" si="10"/>
        <v>11.5</v>
      </c>
      <c r="I63" s="18"/>
      <c r="J63" s="147" t="s">
        <v>334</v>
      </c>
      <c r="L63" s="13" t="s">
        <v>335</v>
      </c>
    </row>
    <row r="64" spans="1:12" x14ac:dyDescent="0.3">
      <c r="A64" s="119" t="s">
        <v>336</v>
      </c>
      <c r="B64" t="s">
        <v>338</v>
      </c>
      <c r="E64" s="122">
        <v>115</v>
      </c>
      <c r="G64" s="146"/>
      <c r="H64" s="18">
        <f t="shared" si="10"/>
        <v>11.5</v>
      </c>
      <c r="I64" s="18"/>
      <c r="J64" s="147" t="s">
        <v>334</v>
      </c>
      <c r="L64" s="13" t="s">
        <v>335</v>
      </c>
    </row>
    <row r="65" spans="1:12" x14ac:dyDescent="0.3">
      <c r="A65" t="s">
        <v>323</v>
      </c>
      <c r="B65" t="s">
        <v>339</v>
      </c>
      <c r="E65" s="122">
        <v>115</v>
      </c>
      <c r="G65" s="18"/>
      <c r="H65" s="18">
        <f t="shared" si="10"/>
        <v>11.5</v>
      </c>
      <c r="I65" s="18"/>
      <c r="J65" s="147" t="s">
        <v>340</v>
      </c>
      <c r="L65" s="13" t="s">
        <v>341</v>
      </c>
    </row>
    <row r="66" spans="1:12" x14ac:dyDescent="0.3">
      <c r="A66" s="119">
        <v>45167</v>
      </c>
      <c r="B66" t="s">
        <v>372</v>
      </c>
      <c r="G66" s="135">
        <f>95.83+19.17+15+3</f>
        <v>133</v>
      </c>
      <c r="H66" s="18">
        <f t="shared" si="10"/>
        <v>13.3</v>
      </c>
      <c r="I66" s="18"/>
      <c r="J66" s="13" t="s">
        <v>364</v>
      </c>
    </row>
    <row r="67" spans="1:12" x14ac:dyDescent="0.3">
      <c r="A67" s="125" t="s">
        <v>336</v>
      </c>
      <c r="B67" t="s">
        <v>342</v>
      </c>
      <c r="E67" s="122">
        <v>115</v>
      </c>
      <c r="G67" s="146"/>
      <c r="H67" s="18">
        <f t="shared" si="10"/>
        <v>11.5</v>
      </c>
      <c r="I67" s="18"/>
      <c r="J67" s="147" t="s">
        <v>23</v>
      </c>
      <c r="L67" s="13" t="s">
        <v>335</v>
      </c>
    </row>
    <row r="68" spans="1:12" x14ac:dyDescent="0.3">
      <c r="A68" s="119">
        <v>45167</v>
      </c>
      <c r="B68" t="s">
        <v>373</v>
      </c>
      <c r="G68" s="135">
        <f>57.46+11.49+15+3</f>
        <v>86.95</v>
      </c>
      <c r="H68" s="18">
        <f t="shared" si="10"/>
        <v>8.6950000000000003</v>
      </c>
      <c r="I68" s="18"/>
      <c r="J68" s="13" t="s">
        <v>364</v>
      </c>
    </row>
    <row r="69" spans="1:12" x14ac:dyDescent="0.3">
      <c r="A69" t="s">
        <v>343</v>
      </c>
      <c r="B69" t="s">
        <v>344</v>
      </c>
      <c r="E69" s="122">
        <v>115</v>
      </c>
      <c r="G69" s="18"/>
      <c r="H69" s="18">
        <f t="shared" si="10"/>
        <v>11.5</v>
      </c>
      <c r="I69" s="18"/>
      <c r="J69" s="13" t="s">
        <v>45</v>
      </c>
    </row>
    <row r="70" spans="1:12" x14ac:dyDescent="0.3">
      <c r="G70" s="18">
        <f>SUM(G61:G69)</f>
        <v>328.9</v>
      </c>
      <c r="H70" s="18">
        <f>SUM(H58:H69)</f>
        <v>130.88900000000001</v>
      </c>
      <c r="I70" s="18">
        <f>H70/J21</f>
        <v>7.6993529411764712</v>
      </c>
    </row>
    <row r="72" spans="1:12" x14ac:dyDescent="0.3">
      <c r="A72" s="127" t="s">
        <v>374</v>
      </c>
    </row>
    <row r="74" spans="1:12" x14ac:dyDescent="0.3">
      <c r="A74" t="s">
        <v>375</v>
      </c>
      <c r="B74" t="s">
        <v>376</v>
      </c>
      <c r="C74" s="130">
        <f>-G15</f>
        <v>-5388.28</v>
      </c>
    </row>
    <row r="75" spans="1:12" x14ac:dyDescent="0.3">
      <c r="B75" t="s">
        <v>377</v>
      </c>
      <c r="C75" s="130">
        <f>-H54</f>
        <v>-147.08799999999999</v>
      </c>
      <c r="D75" t="s">
        <v>378</v>
      </c>
    </row>
    <row r="76" spans="1:12" x14ac:dyDescent="0.3">
      <c r="B76" t="s">
        <v>379</v>
      </c>
      <c r="C76" s="2">
        <f>H15</f>
        <v>2639.52</v>
      </c>
    </row>
    <row r="77" spans="1:12" x14ac:dyDescent="0.3">
      <c r="B77" t="s">
        <v>380</v>
      </c>
      <c r="C77" s="2">
        <f>J16</f>
        <v>1775</v>
      </c>
    </row>
    <row r="78" spans="1:12" x14ac:dyDescent="0.3">
      <c r="B78" t="s">
        <v>291</v>
      </c>
      <c r="C78">
        <f>J20</f>
        <v>71</v>
      </c>
    </row>
    <row r="79" spans="1:12" x14ac:dyDescent="0.3">
      <c r="B79" t="s">
        <v>381</v>
      </c>
      <c r="C79" s="120">
        <f>M15</f>
        <v>879.84</v>
      </c>
    </row>
    <row r="80" spans="1:12" x14ac:dyDescent="0.3">
      <c r="B80" t="s">
        <v>382</v>
      </c>
      <c r="C80" s="130">
        <f>C76+C77+C74+C75</f>
        <v>-1120.8479999999993</v>
      </c>
    </row>
    <row r="81" spans="1:8" x14ac:dyDescent="0.3">
      <c r="B81" t="s">
        <v>383</v>
      </c>
      <c r="C81" s="130">
        <f>(C74+C75-C76-C77)/C78</f>
        <v>-140.13926760563379</v>
      </c>
      <c r="D81" t="s">
        <v>384</v>
      </c>
      <c r="G81" s="18">
        <f>C78*5</f>
        <v>355</v>
      </c>
      <c r="H81" s="13" t="s">
        <v>385</v>
      </c>
    </row>
    <row r="82" spans="1:8" x14ac:dyDescent="0.3">
      <c r="B82" t="s">
        <v>386</v>
      </c>
      <c r="C82" s="130">
        <f>(C74+C75-C76-C77)/C79</f>
        <v>-11.308747044917256</v>
      </c>
      <c r="D82" t="s">
        <v>387</v>
      </c>
      <c r="G82" s="18">
        <v>880</v>
      </c>
      <c r="H82" s="13" t="s">
        <v>385</v>
      </c>
    </row>
    <row r="83" spans="1:8" x14ac:dyDescent="0.3">
      <c r="G83" s="18">
        <f>G82+G81</f>
        <v>1235</v>
      </c>
    </row>
    <row r="84" spans="1:8" x14ac:dyDescent="0.3">
      <c r="A84" t="s">
        <v>388</v>
      </c>
      <c r="B84" t="s">
        <v>389</v>
      </c>
      <c r="C84" s="130">
        <f>J21*K21</f>
        <v>85</v>
      </c>
    </row>
    <row r="85" spans="1:8" x14ac:dyDescent="0.3">
      <c r="B85" t="s">
        <v>390</v>
      </c>
      <c r="C85" s="130">
        <f>-H70</f>
        <v>-130.88900000000001</v>
      </c>
      <c r="D85" t="s">
        <v>378</v>
      </c>
    </row>
    <row r="86" spans="1:8" x14ac:dyDescent="0.3">
      <c r="B86" t="s">
        <v>391</v>
      </c>
      <c r="C86" s="130">
        <f>C85-C84</f>
        <v>-215.88900000000001</v>
      </c>
    </row>
    <row r="87" spans="1:8" x14ac:dyDescent="0.3">
      <c r="B87" t="s">
        <v>292</v>
      </c>
      <c r="C87">
        <f>J21</f>
        <v>17</v>
      </c>
    </row>
    <row r="88" spans="1:8" x14ac:dyDescent="0.3">
      <c r="B88" t="s">
        <v>391</v>
      </c>
      <c r="C88" s="130">
        <f>(C85-C84)/C87</f>
        <v>-12.699352941176471</v>
      </c>
      <c r="D88" t="s">
        <v>392</v>
      </c>
      <c r="G88" s="18">
        <f>C87*3</f>
        <v>51</v>
      </c>
      <c r="H88" s="13" t="s">
        <v>385</v>
      </c>
    </row>
    <row r="91" spans="1:8" x14ac:dyDescent="0.3">
      <c r="A91" t="s">
        <v>393</v>
      </c>
    </row>
    <row r="92" spans="1:8" x14ac:dyDescent="0.3">
      <c r="B92" t="s">
        <v>394</v>
      </c>
      <c r="C92" s="130">
        <f>-J25</f>
        <v>-215.24</v>
      </c>
      <c r="D92" t="s">
        <v>395</v>
      </c>
    </row>
    <row r="94" spans="1:8" x14ac:dyDescent="0.3">
      <c r="A94" t="s">
        <v>6</v>
      </c>
    </row>
    <row r="95" spans="1:8" x14ac:dyDescent="0.3">
      <c r="B95" t="s">
        <v>396</v>
      </c>
      <c r="C95" s="2">
        <f>H34</f>
        <v>119</v>
      </c>
      <c r="D95" t="s">
        <v>397</v>
      </c>
      <c r="G95" s="18">
        <f>C98*13</f>
        <v>221</v>
      </c>
      <c r="H95" s="13" t="s">
        <v>385</v>
      </c>
    </row>
    <row r="96" spans="1:8" x14ac:dyDescent="0.3">
      <c r="B96" t="s">
        <v>398</v>
      </c>
      <c r="C96" s="2">
        <f>G34</f>
        <v>333.53</v>
      </c>
    </row>
    <row r="97" spans="2:3" x14ac:dyDescent="0.3">
      <c r="B97" t="s">
        <v>399</v>
      </c>
      <c r="C97" s="131">
        <f>C95-C96</f>
        <v>-214.52999999999997</v>
      </c>
    </row>
    <row r="98" spans="2:3" x14ac:dyDescent="0.3">
      <c r="B98" t="s">
        <v>400</v>
      </c>
      <c r="C98">
        <f>J19</f>
        <v>17</v>
      </c>
    </row>
    <row r="99" spans="2:3" x14ac:dyDescent="0.3">
      <c r="B99" t="s">
        <v>401</v>
      </c>
      <c r="C99" s="131">
        <f>C97/C98</f>
        <v>-12.61941176470588</v>
      </c>
    </row>
  </sheetData>
  <mergeCells count="1">
    <mergeCell ref="A39:A40"/>
  </mergeCells>
  <pageMargins left="0.70866141732283472" right="0.70866141732283472" top="0.74803149606299213" bottom="0.74803149606299213" header="0.31496062992125984" footer="0.31496062992125984"/>
  <pageSetup paperSize="9" scale="58" fitToHeight="2" orientation="landscape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5CCE0-18B0-4290-B2CB-8DDBB910D170}">
  <sheetPr>
    <pageSetUpPr fitToPage="1"/>
  </sheetPr>
  <dimension ref="A1:J44"/>
  <sheetViews>
    <sheetView workbookViewId="0">
      <pane ySplit="3" topLeftCell="A4" activePane="bottomLeft" state="frozen"/>
      <selection pane="bottomLeft" activeCell="G7" sqref="G7"/>
    </sheetView>
  </sheetViews>
  <sheetFormatPr defaultRowHeight="14.4" x14ac:dyDescent="0.3"/>
  <cols>
    <col min="1" max="1" width="16" style="13" customWidth="1"/>
    <col min="2" max="2" width="15.88671875" style="13" customWidth="1"/>
    <col min="3" max="3" width="11.109375" style="13" customWidth="1"/>
    <col min="4" max="4" width="16" style="13" customWidth="1"/>
    <col min="5" max="5" width="86.77734375" customWidth="1"/>
    <col min="6" max="6" width="14.5546875" style="132" customWidth="1"/>
    <col min="7" max="7" width="14.5546875" style="13" customWidth="1"/>
    <col min="8" max="8" width="10.88671875" style="13" customWidth="1"/>
    <col min="9" max="9" width="12.33203125" style="13" customWidth="1"/>
    <col min="10" max="10" width="43.44140625" bestFit="1" customWidth="1"/>
    <col min="11" max="11" width="8.44140625" customWidth="1"/>
  </cols>
  <sheetData>
    <row r="1" spans="1:10" x14ac:dyDescent="0.3">
      <c r="A1" s="44" t="s">
        <v>181</v>
      </c>
      <c r="H1" s="45">
        <f>H2-H49</f>
        <v>4523.26</v>
      </c>
      <c r="I1" s="45"/>
      <c r="J1" s="13"/>
    </row>
    <row r="2" spans="1:10" s="21" customFormat="1" x14ac:dyDescent="0.3">
      <c r="A2" s="42">
        <v>45291</v>
      </c>
      <c r="B2" s="23"/>
      <c r="C2" s="23"/>
      <c r="D2" s="23"/>
      <c r="F2" s="133"/>
      <c r="G2" s="23"/>
      <c r="H2" s="43">
        <f>H4</f>
        <v>4523.26</v>
      </c>
      <c r="I2" s="43"/>
      <c r="J2" s="43"/>
    </row>
    <row r="3" spans="1:10" s="20" customFormat="1" x14ac:dyDescent="0.3">
      <c r="A3" s="31" t="s">
        <v>108</v>
      </c>
      <c r="B3" s="40" t="s">
        <v>109</v>
      </c>
      <c r="C3" s="31" t="s">
        <v>110</v>
      </c>
      <c r="D3" s="31" t="s">
        <v>111</v>
      </c>
      <c r="E3" s="20" t="s">
        <v>112</v>
      </c>
      <c r="F3" s="46" t="s">
        <v>113</v>
      </c>
      <c r="G3" s="31" t="s">
        <v>114</v>
      </c>
      <c r="H3" s="31" t="s">
        <v>115</v>
      </c>
      <c r="I3" s="163" t="s">
        <v>164</v>
      </c>
      <c r="J3" s="163"/>
    </row>
    <row r="4" spans="1:10" x14ac:dyDescent="0.3">
      <c r="A4" s="41">
        <v>45257</v>
      </c>
      <c r="B4" s="13" t="s">
        <v>116</v>
      </c>
      <c r="C4" s="13" t="s">
        <v>117</v>
      </c>
      <c r="D4" s="13">
        <v>32041968</v>
      </c>
      <c r="E4" t="s">
        <v>402</v>
      </c>
      <c r="F4" s="47">
        <v>344</v>
      </c>
      <c r="G4" s="18"/>
      <c r="H4" s="18">
        <v>4523.26</v>
      </c>
      <c r="I4" s="18" t="s">
        <v>168</v>
      </c>
      <c r="J4" t="s">
        <v>165</v>
      </c>
    </row>
    <row r="5" spans="1:10" x14ac:dyDescent="0.3">
      <c r="A5" s="41">
        <v>45236</v>
      </c>
      <c r="B5" s="13" t="s">
        <v>234</v>
      </c>
      <c r="C5" s="13" t="s">
        <v>117</v>
      </c>
      <c r="D5" s="13">
        <v>32041968</v>
      </c>
      <c r="E5" s="97">
        <v>500051</v>
      </c>
      <c r="F5" s="47"/>
      <c r="G5" s="18">
        <v>318.70999999999998</v>
      </c>
      <c r="H5" s="18">
        <v>4867.26</v>
      </c>
      <c r="I5" s="18" t="s">
        <v>169</v>
      </c>
      <c r="J5" t="s">
        <v>167</v>
      </c>
    </row>
    <row r="6" spans="1:10" x14ac:dyDescent="0.3">
      <c r="A6" s="41">
        <v>45233</v>
      </c>
      <c r="B6" s="13" t="s">
        <v>116</v>
      </c>
      <c r="C6" s="13" t="s">
        <v>117</v>
      </c>
      <c r="D6" s="13">
        <v>32041968</v>
      </c>
      <c r="E6" t="s">
        <v>403</v>
      </c>
      <c r="F6" s="47">
        <v>587.46</v>
      </c>
      <c r="G6" s="18"/>
      <c r="H6" s="18">
        <v>4548.55</v>
      </c>
      <c r="I6" s="18" t="s">
        <v>168</v>
      </c>
      <c r="J6" t="s">
        <v>165</v>
      </c>
    </row>
    <row r="7" spans="1:10" x14ac:dyDescent="0.3">
      <c r="A7" s="41">
        <v>45203</v>
      </c>
      <c r="B7" s="13" t="s">
        <v>234</v>
      </c>
      <c r="C7" s="13" t="s">
        <v>117</v>
      </c>
      <c r="D7" s="13">
        <v>32041968</v>
      </c>
      <c r="E7" t="s">
        <v>404</v>
      </c>
      <c r="F7" s="47"/>
      <c r="G7" s="18">
        <v>239.55</v>
      </c>
      <c r="H7" s="18">
        <v>5136.01</v>
      </c>
      <c r="I7" s="18" t="s">
        <v>169</v>
      </c>
      <c r="J7" t="s">
        <v>453</v>
      </c>
    </row>
    <row r="8" spans="1:10" x14ac:dyDescent="0.3">
      <c r="A8" s="41">
        <v>45202</v>
      </c>
      <c r="B8" s="13" t="s">
        <v>116</v>
      </c>
      <c r="C8" s="13" t="s">
        <v>117</v>
      </c>
      <c r="D8" s="13">
        <v>32041968</v>
      </c>
      <c r="E8" t="s">
        <v>405</v>
      </c>
      <c r="F8" s="47">
        <v>603.54</v>
      </c>
      <c r="G8" s="18"/>
      <c r="H8" s="18">
        <v>4896.46</v>
      </c>
      <c r="I8" s="18" t="s">
        <v>168</v>
      </c>
      <c r="J8" t="s">
        <v>170</v>
      </c>
    </row>
    <row r="9" spans="1:10" x14ac:dyDescent="0.3">
      <c r="A9" s="41">
        <v>45196</v>
      </c>
      <c r="B9" s="13" t="s">
        <v>116</v>
      </c>
      <c r="C9" s="13" t="s">
        <v>117</v>
      </c>
      <c r="D9" s="13">
        <v>32041968</v>
      </c>
      <c r="E9" t="s">
        <v>406</v>
      </c>
      <c r="F9" s="47">
        <v>603.54</v>
      </c>
      <c r="G9" s="18"/>
      <c r="H9" s="18">
        <v>5500</v>
      </c>
      <c r="I9" s="18" t="s">
        <v>168</v>
      </c>
      <c r="J9" t="s">
        <v>447</v>
      </c>
    </row>
    <row r="10" spans="1:10" x14ac:dyDescent="0.3">
      <c r="A10" s="41">
        <v>45167</v>
      </c>
      <c r="B10" s="13" t="s">
        <v>116</v>
      </c>
      <c r="C10" s="13" t="s">
        <v>117</v>
      </c>
      <c r="D10" s="13">
        <v>32041968</v>
      </c>
      <c r="E10" t="s">
        <v>407</v>
      </c>
      <c r="F10" s="47">
        <v>328.9</v>
      </c>
      <c r="G10" s="18"/>
      <c r="H10" s="18">
        <v>6103.54</v>
      </c>
      <c r="I10" s="18" t="s">
        <v>171</v>
      </c>
      <c r="J10" t="s">
        <v>172</v>
      </c>
    </row>
    <row r="11" spans="1:10" x14ac:dyDescent="0.3">
      <c r="A11" s="41">
        <v>45140</v>
      </c>
      <c r="B11" s="13" t="s">
        <v>116</v>
      </c>
      <c r="C11" s="13" t="s">
        <v>117</v>
      </c>
      <c r="D11" s="13">
        <v>32041968</v>
      </c>
      <c r="E11" t="s">
        <v>408</v>
      </c>
      <c r="F11" s="47">
        <v>222</v>
      </c>
      <c r="G11" s="18"/>
      <c r="H11" s="18">
        <v>6432.44</v>
      </c>
      <c r="I11" s="18" t="s">
        <v>171</v>
      </c>
      <c r="J11" t="s">
        <v>172</v>
      </c>
    </row>
    <row r="12" spans="1:10" x14ac:dyDescent="0.3">
      <c r="A12" s="41">
        <v>45120</v>
      </c>
      <c r="B12" s="13" t="s">
        <v>116</v>
      </c>
      <c r="C12" s="13" t="s">
        <v>117</v>
      </c>
      <c r="D12" s="13">
        <v>32041968</v>
      </c>
      <c r="E12" t="s">
        <v>409</v>
      </c>
      <c r="F12" s="47">
        <v>35.6</v>
      </c>
      <c r="G12" s="18"/>
      <c r="H12" s="18">
        <v>6654.44</v>
      </c>
      <c r="I12" s="18" t="s">
        <v>168</v>
      </c>
      <c r="J12" t="s">
        <v>165</v>
      </c>
    </row>
    <row r="13" spans="1:10" x14ac:dyDescent="0.3">
      <c r="A13" s="41">
        <v>45120</v>
      </c>
      <c r="B13" s="13" t="s">
        <v>116</v>
      </c>
      <c r="C13" s="13" t="s">
        <v>117</v>
      </c>
      <c r="D13" s="13">
        <v>32041968</v>
      </c>
      <c r="E13" t="s">
        <v>410</v>
      </c>
      <c r="F13" s="47">
        <v>184</v>
      </c>
      <c r="G13" s="18"/>
      <c r="H13" s="18">
        <v>6690.04</v>
      </c>
      <c r="I13" s="18" t="s">
        <v>168</v>
      </c>
      <c r="J13" t="s">
        <v>165</v>
      </c>
    </row>
    <row r="14" spans="1:10" x14ac:dyDescent="0.3">
      <c r="A14" s="41">
        <v>45110</v>
      </c>
      <c r="B14" s="13" t="s">
        <v>116</v>
      </c>
      <c r="C14" s="13" t="s">
        <v>117</v>
      </c>
      <c r="D14" s="13">
        <v>32041968</v>
      </c>
      <c r="E14" t="s">
        <v>411</v>
      </c>
      <c r="F14" s="47">
        <v>212.5</v>
      </c>
      <c r="G14" s="18"/>
      <c r="H14" s="18">
        <v>6874.04</v>
      </c>
      <c r="I14" s="18" t="s">
        <v>168</v>
      </c>
      <c r="J14" t="s">
        <v>165</v>
      </c>
    </row>
    <row r="15" spans="1:10" x14ac:dyDescent="0.3">
      <c r="A15" s="41">
        <v>45104</v>
      </c>
      <c r="B15" s="13" t="s">
        <v>121</v>
      </c>
      <c r="C15" s="13" t="s">
        <v>117</v>
      </c>
      <c r="D15" s="13">
        <v>32041968</v>
      </c>
      <c r="E15" t="s">
        <v>412</v>
      </c>
      <c r="F15" s="47"/>
      <c r="G15" s="18">
        <v>308</v>
      </c>
      <c r="H15" s="18">
        <v>7086.54</v>
      </c>
      <c r="I15" s="18" t="s">
        <v>169</v>
      </c>
      <c r="J15" t="s">
        <v>452</v>
      </c>
    </row>
    <row r="16" spans="1:10" x14ac:dyDescent="0.3">
      <c r="A16" s="41">
        <v>45083</v>
      </c>
      <c r="B16" s="13" t="s">
        <v>121</v>
      </c>
      <c r="C16" s="13" t="s">
        <v>117</v>
      </c>
      <c r="D16" s="13">
        <v>32041968</v>
      </c>
      <c r="E16" t="s">
        <v>413</v>
      </c>
      <c r="F16" s="47"/>
      <c r="G16" s="18">
        <v>137</v>
      </c>
      <c r="H16" s="18">
        <v>6778.54</v>
      </c>
      <c r="I16" s="18" t="s">
        <v>179</v>
      </c>
      <c r="J16" t="s">
        <v>180</v>
      </c>
    </row>
    <row r="17" spans="1:10" x14ac:dyDescent="0.3">
      <c r="A17" s="41">
        <v>45082</v>
      </c>
      <c r="B17" s="13" t="s">
        <v>121</v>
      </c>
      <c r="C17" s="13" t="s">
        <v>117</v>
      </c>
      <c r="D17" s="13">
        <v>32041968</v>
      </c>
      <c r="E17" t="s">
        <v>414</v>
      </c>
      <c r="F17" s="47"/>
      <c r="G17" s="18">
        <v>150</v>
      </c>
      <c r="H17" s="18">
        <v>6641.54</v>
      </c>
      <c r="I17" s="18" t="s">
        <v>179</v>
      </c>
      <c r="J17" t="s">
        <v>180</v>
      </c>
    </row>
    <row r="18" spans="1:10" x14ac:dyDescent="0.3">
      <c r="A18" s="41">
        <v>45082</v>
      </c>
      <c r="B18" s="13" t="s">
        <v>116</v>
      </c>
      <c r="C18" s="13" t="s">
        <v>117</v>
      </c>
      <c r="D18" s="13">
        <v>32041968</v>
      </c>
      <c r="E18" t="s">
        <v>415</v>
      </c>
      <c r="F18" s="47">
        <v>603.54</v>
      </c>
      <c r="G18" s="18"/>
      <c r="H18" s="18">
        <v>6491.54</v>
      </c>
      <c r="I18" s="18" t="s">
        <v>168</v>
      </c>
      <c r="J18" t="s">
        <v>448</v>
      </c>
    </row>
    <row r="19" spans="1:10" x14ac:dyDescent="0.3">
      <c r="A19" s="41">
        <v>45076</v>
      </c>
      <c r="B19" s="13" t="s">
        <v>116</v>
      </c>
      <c r="C19" s="13" t="s">
        <v>117</v>
      </c>
      <c r="D19" s="13">
        <v>32041968</v>
      </c>
      <c r="E19" t="s">
        <v>416</v>
      </c>
      <c r="F19" s="47">
        <v>14.39</v>
      </c>
      <c r="G19" s="18"/>
      <c r="H19" s="18">
        <v>7095.08</v>
      </c>
      <c r="I19" s="18" t="s">
        <v>175</v>
      </c>
      <c r="J19" t="s">
        <v>177</v>
      </c>
    </row>
    <row r="20" spans="1:10" x14ac:dyDescent="0.3">
      <c r="A20" s="41">
        <v>45076</v>
      </c>
      <c r="B20" s="13" t="s">
        <v>116</v>
      </c>
      <c r="C20" s="13" t="s">
        <v>117</v>
      </c>
      <c r="D20" s="13">
        <v>32041968</v>
      </c>
      <c r="E20" t="s">
        <v>417</v>
      </c>
      <c r="F20" s="47">
        <v>100.66</v>
      </c>
      <c r="G20" s="18"/>
      <c r="H20" s="18">
        <v>7109.47</v>
      </c>
      <c r="I20" s="18" t="s">
        <v>175</v>
      </c>
      <c r="J20" t="s">
        <v>176</v>
      </c>
    </row>
    <row r="21" spans="1:10" x14ac:dyDescent="0.3">
      <c r="A21" s="41">
        <v>45076</v>
      </c>
      <c r="B21" s="13" t="s">
        <v>116</v>
      </c>
      <c r="C21" s="13" t="s">
        <v>117</v>
      </c>
      <c r="D21" s="13">
        <v>32041968</v>
      </c>
      <c r="E21" t="s">
        <v>418</v>
      </c>
      <c r="F21" s="47">
        <v>34.5</v>
      </c>
      <c r="G21" s="18"/>
      <c r="H21" s="18">
        <v>7210.13</v>
      </c>
      <c r="I21" s="18" t="s">
        <v>171</v>
      </c>
      <c r="J21" t="s">
        <v>172</v>
      </c>
    </row>
    <row r="22" spans="1:10" x14ac:dyDescent="0.3">
      <c r="A22" s="41">
        <v>45028</v>
      </c>
      <c r="B22" s="13" t="s">
        <v>121</v>
      </c>
      <c r="C22" s="13" t="s">
        <v>117</v>
      </c>
      <c r="D22" s="13">
        <v>32041968</v>
      </c>
      <c r="E22" t="s">
        <v>419</v>
      </c>
      <c r="F22" s="47"/>
      <c r="G22" s="18">
        <v>363</v>
      </c>
      <c r="H22" s="18">
        <v>7244.63</v>
      </c>
      <c r="I22" s="18" t="s">
        <v>169</v>
      </c>
      <c r="J22" t="s">
        <v>451</v>
      </c>
    </row>
    <row r="23" spans="1:10" x14ac:dyDescent="0.3">
      <c r="A23" s="41">
        <v>44999</v>
      </c>
      <c r="B23" s="13" t="s">
        <v>121</v>
      </c>
      <c r="C23" s="13" t="s">
        <v>117</v>
      </c>
      <c r="D23" s="13">
        <v>32041968</v>
      </c>
      <c r="E23" t="s">
        <v>420</v>
      </c>
      <c r="F23" s="47"/>
      <c r="G23" s="18">
        <v>137</v>
      </c>
      <c r="H23" s="18">
        <v>6881.63</v>
      </c>
      <c r="I23" s="18" t="s">
        <v>179</v>
      </c>
      <c r="J23" t="s">
        <v>180</v>
      </c>
    </row>
    <row r="24" spans="1:10" x14ac:dyDescent="0.3">
      <c r="A24" s="41">
        <v>44986</v>
      </c>
      <c r="B24" s="13" t="s">
        <v>116</v>
      </c>
      <c r="C24" s="13" t="s">
        <v>117</v>
      </c>
      <c r="D24" s="13">
        <v>32041968</v>
      </c>
      <c r="E24" t="s">
        <v>421</v>
      </c>
      <c r="F24" s="47">
        <v>215.24</v>
      </c>
      <c r="G24" s="18"/>
      <c r="H24" s="18">
        <v>6744.63</v>
      </c>
      <c r="I24" s="18" t="s">
        <v>168</v>
      </c>
      <c r="J24" t="s">
        <v>454</v>
      </c>
    </row>
    <row r="25" spans="1:10" x14ac:dyDescent="0.3">
      <c r="A25" s="41">
        <v>44979</v>
      </c>
      <c r="B25" s="13" t="s">
        <v>116</v>
      </c>
      <c r="C25" s="13" t="s">
        <v>117</v>
      </c>
      <c r="D25" s="13">
        <v>32041968</v>
      </c>
      <c r="E25" t="s">
        <v>422</v>
      </c>
      <c r="F25" s="47">
        <v>180</v>
      </c>
      <c r="G25" s="18"/>
      <c r="H25" s="18">
        <v>6959.87</v>
      </c>
      <c r="I25" s="18" t="s">
        <v>171</v>
      </c>
      <c r="J25" t="s">
        <v>450</v>
      </c>
    </row>
    <row r="26" spans="1:10" x14ac:dyDescent="0.3">
      <c r="A26" s="41">
        <v>44972</v>
      </c>
      <c r="B26" s="13" t="s">
        <v>116</v>
      </c>
      <c r="C26" s="13" t="s">
        <v>117</v>
      </c>
      <c r="D26" s="13">
        <v>32041968</v>
      </c>
      <c r="E26" t="s">
        <v>423</v>
      </c>
      <c r="F26" s="47">
        <v>603.54</v>
      </c>
      <c r="G26" s="18"/>
      <c r="H26" s="18">
        <v>7139.87</v>
      </c>
      <c r="I26" s="18" t="s">
        <v>168</v>
      </c>
      <c r="J26" t="s">
        <v>449</v>
      </c>
    </row>
    <row r="27" spans="1:10" x14ac:dyDescent="0.3">
      <c r="A27" s="41">
        <v>44967</v>
      </c>
      <c r="B27" s="13" t="s">
        <v>121</v>
      </c>
      <c r="C27" s="13" t="s">
        <v>117</v>
      </c>
      <c r="D27" s="13">
        <v>32041968</v>
      </c>
      <c r="E27" t="s">
        <v>424</v>
      </c>
      <c r="F27" s="47"/>
      <c r="G27" s="18">
        <v>112</v>
      </c>
      <c r="H27" s="18">
        <v>7743.41</v>
      </c>
      <c r="I27" s="18" t="s">
        <v>179</v>
      </c>
      <c r="J27" t="s">
        <v>180</v>
      </c>
    </row>
    <row r="28" spans="1:10" x14ac:dyDescent="0.3">
      <c r="A28" s="41">
        <v>44964</v>
      </c>
      <c r="B28" s="13" t="s">
        <v>121</v>
      </c>
      <c r="C28" s="13" t="s">
        <v>117</v>
      </c>
      <c r="D28" s="13">
        <v>32041968</v>
      </c>
      <c r="E28" t="s">
        <v>425</v>
      </c>
      <c r="F28" s="47"/>
      <c r="G28" s="18">
        <v>137</v>
      </c>
      <c r="H28" s="18">
        <v>7631.41</v>
      </c>
      <c r="I28" s="18" t="s">
        <v>179</v>
      </c>
      <c r="J28" t="s">
        <v>180</v>
      </c>
    </row>
    <row r="29" spans="1:10" x14ac:dyDescent="0.3">
      <c r="A29" s="41">
        <v>44963</v>
      </c>
      <c r="B29" s="13" t="s">
        <v>121</v>
      </c>
      <c r="C29" s="13" t="s">
        <v>117</v>
      </c>
      <c r="D29" s="13">
        <v>32041968</v>
      </c>
      <c r="E29" t="s">
        <v>426</v>
      </c>
      <c r="F29" s="47"/>
      <c r="G29" s="18">
        <v>42</v>
      </c>
      <c r="H29" s="18">
        <v>7494.41</v>
      </c>
      <c r="I29" s="18" t="s">
        <v>179</v>
      </c>
      <c r="J29" t="s">
        <v>180</v>
      </c>
    </row>
    <row r="30" spans="1:10" x14ac:dyDescent="0.3">
      <c r="A30" s="41">
        <v>44963</v>
      </c>
      <c r="B30" s="13" t="s">
        <v>121</v>
      </c>
      <c r="C30" s="13" t="s">
        <v>117</v>
      </c>
      <c r="D30" s="13">
        <v>32041968</v>
      </c>
      <c r="E30" t="s">
        <v>427</v>
      </c>
      <c r="F30" s="47"/>
      <c r="G30" s="18">
        <v>82</v>
      </c>
      <c r="H30" s="18">
        <v>7452.41</v>
      </c>
      <c r="I30" s="18" t="s">
        <v>179</v>
      </c>
      <c r="J30" t="s">
        <v>180</v>
      </c>
    </row>
    <row r="31" spans="1:10" x14ac:dyDescent="0.3">
      <c r="A31" s="41">
        <v>44963</v>
      </c>
      <c r="B31" s="13" t="s">
        <v>116</v>
      </c>
      <c r="C31" s="13" t="s">
        <v>117</v>
      </c>
      <c r="D31" s="13">
        <v>32041968</v>
      </c>
      <c r="E31" t="s">
        <v>428</v>
      </c>
      <c r="F31" s="47">
        <v>14.6</v>
      </c>
      <c r="G31" s="18"/>
      <c r="H31" s="18">
        <v>7370.41</v>
      </c>
      <c r="I31" s="18" t="s">
        <v>175</v>
      </c>
      <c r="J31" t="s">
        <v>178</v>
      </c>
    </row>
    <row r="32" spans="1:10" x14ac:dyDescent="0.3">
      <c r="A32" s="41">
        <v>44960</v>
      </c>
      <c r="B32" s="13" t="s">
        <v>121</v>
      </c>
      <c r="C32" s="13" t="s">
        <v>117</v>
      </c>
      <c r="D32" s="13">
        <v>32041968</v>
      </c>
      <c r="E32" t="s">
        <v>429</v>
      </c>
      <c r="F32" s="47"/>
      <c r="G32" s="18">
        <v>87</v>
      </c>
      <c r="H32" s="18">
        <v>7385.01</v>
      </c>
      <c r="I32" s="18" t="s">
        <v>179</v>
      </c>
      <c r="J32" t="s">
        <v>180</v>
      </c>
    </row>
    <row r="33" spans="1:10" x14ac:dyDescent="0.3">
      <c r="A33" s="41">
        <v>44957</v>
      </c>
      <c r="B33" s="13" t="s">
        <v>116</v>
      </c>
      <c r="C33" s="13" t="s">
        <v>117</v>
      </c>
      <c r="D33" s="13">
        <v>32041968</v>
      </c>
      <c r="E33" t="s">
        <v>430</v>
      </c>
      <c r="F33" s="47">
        <v>25</v>
      </c>
      <c r="G33" s="18"/>
      <c r="H33" s="18">
        <v>7298.01</v>
      </c>
      <c r="I33" s="18" t="s">
        <v>179</v>
      </c>
      <c r="J33" t="s">
        <v>61</v>
      </c>
    </row>
    <row r="34" spans="1:10" x14ac:dyDescent="0.3">
      <c r="A34" s="41">
        <v>44956</v>
      </c>
      <c r="B34" s="13" t="s">
        <v>121</v>
      </c>
      <c r="C34" s="13" t="s">
        <v>117</v>
      </c>
      <c r="D34" s="13">
        <v>32041968</v>
      </c>
      <c r="E34" t="s">
        <v>431</v>
      </c>
      <c r="F34" s="47"/>
      <c r="G34" s="18">
        <v>137</v>
      </c>
      <c r="H34" s="18">
        <v>7323.01</v>
      </c>
      <c r="I34" s="18" t="s">
        <v>179</v>
      </c>
      <c r="J34" t="s">
        <v>180</v>
      </c>
    </row>
    <row r="35" spans="1:10" x14ac:dyDescent="0.3">
      <c r="A35" s="41">
        <v>44956</v>
      </c>
      <c r="B35" s="13" t="s">
        <v>121</v>
      </c>
      <c r="C35" s="13" t="s">
        <v>117</v>
      </c>
      <c r="D35" s="13">
        <v>32041968</v>
      </c>
      <c r="E35" t="s">
        <v>432</v>
      </c>
      <c r="F35" s="47"/>
      <c r="G35" s="18">
        <v>57</v>
      </c>
      <c r="H35" s="18">
        <v>7186.01</v>
      </c>
      <c r="I35" s="18" t="s">
        <v>179</v>
      </c>
      <c r="J35" t="s">
        <v>180</v>
      </c>
    </row>
    <row r="36" spans="1:10" x14ac:dyDescent="0.3">
      <c r="A36" s="41">
        <v>44952</v>
      </c>
      <c r="B36" s="13" t="s">
        <v>121</v>
      </c>
      <c r="C36" s="13" t="s">
        <v>117</v>
      </c>
      <c r="D36" s="13">
        <v>32041968</v>
      </c>
      <c r="E36" t="s">
        <v>433</v>
      </c>
      <c r="F36" s="47"/>
      <c r="G36" s="18">
        <v>87</v>
      </c>
      <c r="H36" s="18">
        <v>7129.01</v>
      </c>
      <c r="I36" s="18" t="s">
        <v>179</v>
      </c>
      <c r="J36" t="s">
        <v>180</v>
      </c>
    </row>
    <row r="37" spans="1:10" x14ac:dyDescent="0.3">
      <c r="A37" s="41">
        <v>44946</v>
      </c>
      <c r="B37" s="13" t="s">
        <v>121</v>
      </c>
      <c r="C37" s="13" t="s">
        <v>117</v>
      </c>
      <c r="D37" s="13">
        <v>32041968</v>
      </c>
      <c r="E37" t="s">
        <v>434</v>
      </c>
      <c r="F37" s="47"/>
      <c r="G37" s="18">
        <v>112</v>
      </c>
      <c r="H37" s="18">
        <v>7042.01</v>
      </c>
      <c r="I37" s="18" t="s">
        <v>179</v>
      </c>
      <c r="J37" t="s">
        <v>180</v>
      </c>
    </row>
    <row r="38" spans="1:10" x14ac:dyDescent="0.3">
      <c r="A38" s="41">
        <v>44945</v>
      </c>
      <c r="B38" s="13" t="s">
        <v>121</v>
      </c>
      <c r="C38" s="13" t="s">
        <v>117</v>
      </c>
      <c r="D38" s="13">
        <v>32041968</v>
      </c>
      <c r="E38" t="s">
        <v>435</v>
      </c>
      <c r="F38" s="47"/>
      <c r="G38" s="18">
        <v>32</v>
      </c>
      <c r="H38" s="18">
        <v>6930.01</v>
      </c>
      <c r="I38" s="18" t="s">
        <v>179</v>
      </c>
      <c r="J38" t="s">
        <v>180</v>
      </c>
    </row>
    <row r="39" spans="1:10" x14ac:dyDescent="0.3">
      <c r="A39" s="41">
        <v>44944</v>
      </c>
      <c r="B39" s="13" t="s">
        <v>121</v>
      </c>
      <c r="C39" s="13" t="s">
        <v>117</v>
      </c>
      <c r="D39" s="13">
        <v>32041968</v>
      </c>
      <c r="E39" t="s">
        <v>436</v>
      </c>
      <c r="F39" s="47"/>
      <c r="G39" s="18">
        <v>112</v>
      </c>
      <c r="H39" s="18">
        <v>6898.01</v>
      </c>
      <c r="I39" s="18" t="s">
        <v>179</v>
      </c>
      <c r="J39" t="s">
        <v>180</v>
      </c>
    </row>
    <row r="40" spans="1:10" x14ac:dyDescent="0.3">
      <c r="A40" s="41">
        <v>44944</v>
      </c>
      <c r="B40" s="13" t="s">
        <v>121</v>
      </c>
      <c r="C40" s="13" t="s">
        <v>117</v>
      </c>
      <c r="D40" s="13">
        <v>32041968</v>
      </c>
      <c r="E40" t="s">
        <v>437</v>
      </c>
      <c r="F40" s="47"/>
      <c r="G40" s="18">
        <v>87</v>
      </c>
      <c r="H40" s="18">
        <v>6786.01</v>
      </c>
      <c r="I40" s="18" t="s">
        <v>179</v>
      </c>
      <c r="J40" t="s">
        <v>180</v>
      </c>
    </row>
    <row r="41" spans="1:10" x14ac:dyDescent="0.3">
      <c r="A41" s="41">
        <v>44943</v>
      </c>
      <c r="B41" s="13" t="s">
        <v>121</v>
      </c>
      <c r="C41" s="13" t="s">
        <v>117</v>
      </c>
      <c r="D41" s="13">
        <v>32041968</v>
      </c>
      <c r="E41" t="s">
        <v>438</v>
      </c>
      <c r="F41" s="47"/>
      <c r="G41" s="18">
        <v>112</v>
      </c>
      <c r="H41" s="18">
        <v>6699.01</v>
      </c>
      <c r="I41" s="18" t="s">
        <v>179</v>
      </c>
      <c r="J41" t="s">
        <v>180</v>
      </c>
    </row>
    <row r="42" spans="1:10" x14ac:dyDescent="0.3">
      <c r="A42" s="41">
        <v>44943</v>
      </c>
      <c r="B42" s="13" t="s">
        <v>121</v>
      </c>
      <c r="C42" s="13" t="s">
        <v>117</v>
      </c>
      <c r="D42" s="13">
        <v>32041968</v>
      </c>
      <c r="E42" t="s">
        <v>439</v>
      </c>
      <c r="F42" s="47"/>
      <c r="G42" s="18">
        <v>112</v>
      </c>
      <c r="H42" s="18">
        <v>6587.01</v>
      </c>
      <c r="I42" s="18" t="s">
        <v>179</v>
      </c>
      <c r="J42" t="s">
        <v>180</v>
      </c>
    </row>
    <row r="43" spans="1:10" x14ac:dyDescent="0.3">
      <c r="A43" s="41">
        <v>44938</v>
      </c>
      <c r="B43" s="13" t="s">
        <v>121</v>
      </c>
      <c r="C43" s="13" t="s">
        <v>117</v>
      </c>
      <c r="D43" s="13">
        <v>32041968</v>
      </c>
      <c r="E43" t="s">
        <v>440</v>
      </c>
      <c r="F43" s="47"/>
      <c r="G43" s="18">
        <v>267</v>
      </c>
      <c r="H43" s="18">
        <v>6475.01</v>
      </c>
      <c r="I43" s="18" t="s">
        <v>179</v>
      </c>
      <c r="J43" t="s">
        <v>180</v>
      </c>
    </row>
    <row r="44" spans="1:10" x14ac:dyDescent="0.3">
      <c r="A44" s="42">
        <v>44926</v>
      </c>
      <c r="F44" s="47">
        <f>SUM(F4:F43)</f>
        <v>4913.01</v>
      </c>
      <c r="G44" s="18">
        <f>SUM(G4:G43)</f>
        <v>3228.26</v>
      </c>
      <c r="H44" s="43">
        <f>H43-G43</f>
        <v>6208.01</v>
      </c>
      <c r="I44" s="43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54" orientation="landscape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F79A0-96D4-4F12-980C-5432F41D9B61}">
  <sheetPr>
    <pageSetUpPr fitToPage="1"/>
  </sheetPr>
  <dimension ref="A1:O45"/>
  <sheetViews>
    <sheetView showGridLines="0" workbookViewId="0">
      <pane ySplit="1" topLeftCell="A2" activePane="bottomLeft" state="frozen"/>
      <selection pane="bottomLeft" activeCell="B7" sqref="B7"/>
    </sheetView>
  </sheetViews>
  <sheetFormatPr defaultRowHeight="15.6" x14ac:dyDescent="0.3"/>
  <cols>
    <col min="1" max="1" width="36.109375" style="53" customWidth="1"/>
    <col min="2" max="13" width="13.6640625" style="51" customWidth="1"/>
    <col min="14" max="14" width="13.6640625" style="78" customWidth="1"/>
    <col min="15" max="16384" width="8.88671875" style="53"/>
  </cols>
  <sheetData>
    <row r="1" spans="1:14" s="48" customFormat="1" x14ac:dyDescent="0.3">
      <c r="B1" s="49">
        <v>44562</v>
      </c>
      <c r="C1" s="49">
        <v>44593</v>
      </c>
      <c r="D1" s="49">
        <v>44621</v>
      </c>
      <c r="E1" s="49">
        <v>44652</v>
      </c>
      <c r="F1" s="49">
        <v>44682</v>
      </c>
      <c r="G1" s="49">
        <v>44713</v>
      </c>
      <c r="H1" s="49">
        <v>44743</v>
      </c>
      <c r="I1" s="49">
        <v>44774</v>
      </c>
      <c r="J1" s="49">
        <v>44805</v>
      </c>
      <c r="K1" s="49">
        <v>44835</v>
      </c>
      <c r="L1" s="49">
        <v>44866</v>
      </c>
      <c r="M1" s="49">
        <v>44896</v>
      </c>
      <c r="N1" s="50" t="s">
        <v>196</v>
      </c>
    </row>
    <row r="2" spans="1:14" x14ac:dyDescent="0.3">
      <c r="A2" s="48" t="s">
        <v>182</v>
      </c>
      <c r="N2" s="52"/>
    </row>
    <row r="3" spans="1:14" x14ac:dyDescent="0.3">
      <c r="A3" s="54" t="s">
        <v>6</v>
      </c>
      <c r="B3" s="55">
        <f>SUM('2022 Membership Income'!S5,'2022 Membership Income'!S6,'2022 Membership Income'!S10,'2022 Membership Income'!S18,'2022 Membership Income'!S20,'2022 Membership Income'!S22,'2022 Membership Income'!S24,'2022 Membership Income'!S25,'2022 Membership Income'!S27)*'2022 Membership Income'!S3</f>
        <v>45</v>
      </c>
      <c r="C3" s="55">
        <f>SUM('2022 Membership Income'!S7,'2022 Membership Income'!S12,'2022 Membership Income'!S23)*'2022 Membership Income'!S3</f>
        <v>15</v>
      </c>
      <c r="D3" s="55">
        <f>SUM('2022 Membership Income'!S16,'2022 Membership Income'!S17)*'2022 Membership Income'!S3</f>
        <v>10</v>
      </c>
      <c r="E3" s="55"/>
      <c r="F3" s="55"/>
      <c r="G3" s="55"/>
      <c r="H3" s="55"/>
      <c r="I3" s="55"/>
      <c r="J3" s="55"/>
      <c r="K3" s="55"/>
      <c r="L3" s="55"/>
      <c r="M3" s="55"/>
      <c r="N3" s="56">
        <f>SUM(B3:M3)</f>
        <v>70</v>
      </c>
    </row>
    <row r="4" spans="1:14" x14ac:dyDescent="0.3">
      <c r="A4" s="57" t="s">
        <v>7</v>
      </c>
      <c r="B4" s="58">
        <f>SUM(B3)</f>
        <v>45</v>
      </c>
      <c r="C4" s="58">
        <f t="shared" ref="C4:N4" si="0">SUM(C3)</f>
        <v>15</v>
      </c>
      <c r="D4" s="58">
        <f t="shared" si="0"/>
        <v>10</v>
      </c>
      <c r="E4" s="58">
        <f t="shared" si="0"/>
        <v>0</v>
      </c>
      <c r="F4" s="58">
        <f t="shared" si="0"/>
        <v>0</v>
      </c>
      <c r="G4" s="58">
        <f t="shared" si="0"/>
        <v>0</v>
      </c>
      <c r="H4" s="58">
        <f t="shared" si="0"/>
        <v>0</v>
      </c>
      <c r="I4" s="58">
        <f t="shared" si="0"/>
        <v>0</v>
      </c>
      <c r="J4" s="58">
        <f t="shared" si="0"/>
        <v>0</v>
      </c>
      <c r="K4" s="58">
        <f t="shared" si="0"/>
        <v>0</v>
      </c>
      <c r="L4" s="58">
        <f t="shared" si="0"/>
        <v>0</v>
      </c>
      <c r="M4" s="58">
        <f t="shared" si="0"/>
        <v>0</v>
      </c>
      <c r="N4" s="59">
        <f t="shared" si="0"/>
        <v>70</v>
      </c>
    </row>
    <row r="5" spans="1:14" x14ac:dyDescent="0.3">
      <c r="N5" s="60"/>
    </row>
    <row r="6" spans="1:14" x14ac:dyDescent="0.3">
      <c r="A6" s="48" t="s">
        <v>183</v>
      </c>
      <c r="N6" s="60"/>
    </row>
    <row r="7" spans="1:14" x14ac:dyDescent="0.3">
      <c r="A7" s="54" t="s">
        <v>184</v>
      </c>
      <c r="B7" s="55">
        <f>'2022 Membership Income'!U5-'2022 Membership Income'!S3+'2022 Membership Income'!U6-'2022 Membership Income'!S3+'2022 Membership Income'!U10-'2022 Membership Income'!S3+'2022 Membership Income'!U18-'2022 Membership Income'!S3+'2022 Membership Income'!U20-'2022 Membership Income'!S3+'2022 Membership Income'!U22-'2022 Membership Income'!S3+'2022 Membership Income'!U24-'2022 Membership Income'!S3+'2022 Membership Income'!U25-'2022 Membership Income'!S3+'2022 Membership Income'!U27-'2022 Membership Income'!S3</f>
        <v>615</v>
      </c>
      <c r="C7" s="55">
        <f>'2022 Membership Income'!U7-'2022 Membership Income'!S3+'2022 Membership Income'!U12-'2022 Membership Income'!S3+'2022 Membership Income'!U23-'2022 Membership Income'!S3</f>
        <v>160</v>
      </c>
      <c r="D7" s="55">
        <f>'2022 Membership Income'!U8+'2022 Membership Income'!U16-'2022 Membership Income'!S3+'2022 Membership Income'!U17-'2022 Membership Income'!S3</f>
        <v>85</v>
      </c>
      <c r="E7" s="55"/>
      <c r="F7" s="55"/>
      <c r="G7" s="55"/>
      <c r="H7" s="55"/>
      <c r="I7" s="55"/>
      <c r="J7" s="55"/>
      <c r="K7" s="55"/>
      <c r="L7" s="55"/>
      <c r="M7" s="55"/>
      <c r="N7" s="56">
        <f t="shared" ref="N7:N9" si="1">SUM(B7:M7)</f>
        <v>860</v>
      </c>
    </row>
    <row r="8" spans="1:14" x14ac:dyDescent="0.3">
      <c r="A8" s="54" t="s">
        <v>185</v>
      </c>
      <c r="B8" s="55"/>
      <c r="C8" s="55"/>
      <c r="D8" s="55"/>
      <c r="E8" s="55"/>
      <c r="F8" s="55"/>
      <c r="G8" s="55">
        <f>'2022 Gala Expenses'!G6</f>
        <v>120.8</v>
      </c>
      <c r="H8" s="55"/>
      <c r="I8" s="55"/>
      <c r="J8" s="55"/>
      <c r="K8" s="55">
        <f>'2022 Gala Expenses'!G14</f>
        <v>417</v>
      </c>
      <c r="L8" s="55"/>
      <c r="M8" s="55"/>
      <c r="N8" s="56">
        <f t="shared" si="1"/>
        <v>537.79999999999995</v>
      </c>
    </row>
    <row r="9" spans="1:14" x14ac:dyDescent="0.3">
      <c r="A9" s="57" t="s">
        <v>7</v>
      </c>
      <c r="B9" s="58">
        <f>SUM(B7:B8)</f>
        <v>615</v>
      </c>
      <c r="C9" s="58">
        <f t="shared" ref="C9:M9" si="2">SUM(C7:C8)</f>
        <v>160</v>
      </c>
      <c r="D9" s="58">
        <f t="shared" si="2"/>
        <v>85</v>
      </c>
      <c r="E9" s="58">
        <f t="shared" si="2"/>
        <v>0</v>
      </c>
      <c r="F9" s="58">
        <f t="shared" si="2"/>
        <v>0</v>
      </c>
      <c r="G9" s="58">
        <f t="shared" si="2"/>
        <v>120.8</v>
      </c>
      <c r="H9" s="58">
        <f t="shared" si="2"/>
        <v>0</v>
      </c>
      <c r="I9" s="58">
        <f t="shared" si="2"/>
        <v>0</v>
      </c>
      <c r="J9" s="58">
        <f t="shared" si="2"/>
        <v>0</v>
      </c>
      <c r="K9" s="58">
        <f t="shared" si="2"/>
        <v>417</v>
      </c>
      <c r="L9" s="58">
        <f t="shared" si="2"/>
        <v>0</v>
      </c>
      <c r="M9" s="58">
        <f t="shared" si="2"/>
        <v>0</v>
      </c>
      <c r="N9" s="59">
        <f t="shared" si="1"/>
        <v>1397.8</v>
      </c>
    </row>
    <row r="10" spans="1:14" x14ac:dyDescent="0.3">
      <c r="N10" s="60"/>
    </row>
    <row r="11" spans="1:14" x14ac:dyDescent="0.3">
      <c r="A11" s="48" t="s">
        <v>197</v>
      </c>
      <c r="N11" s="60"/>
    </row>
    <row r="12" spans="1:14" x14ac:dyDescent="0.3">
      <c r="A12" s="54" t="s">
        <v>195</v>
      </c>
      <c r="B12" s="61">
        <f>-SUM('2022 Membership Income'!X6,'2022 Membership Income'!X26,'2022 Membership Income'!X28)</f>
        <v>-295</v>
      </c>
      <c r="C12" s="61">
        <f>-SUM('2022 Membership Income'!X20)</f>
        <v>-60</v>
      </c>
      <c r="D12" s="61">
        <f>-SUM('2022 Membership Income'!X10,'2022 Membership Income'!X18)</f>
        <v>-175</v>
      </c>
      <c r="E12" s="61">
        <f>-SUM('2022 Membership Income'!X15,'2022 Membership Income'!X21)</f>
        <v>-135</v>
      </c>
      <c r="F12" s="61"/>
      <c r="G12" s="61">
        <f>-SUM('2022 Membership Income'!X13,'2022 Membership Income'!X19,'2022 Membership Income'!X22)</f>
        <v>-90</v>
      </c>
      <c r="H12" s="61"/>
      <c r="I12" s="61"/>
      <c r="J12" s="61"/>
      <c r="K12" s="61"/>
      <c r="L12" s="61"/>
      <c r="M12" s="61"/>
      <c r="N12" s="62">
        <f t="shared" ref="N12" si="3">SUM(B12:M12)</f>
        <v>-755</v>
      </c>
    </row>
    <row r="13" spans="1:14" x14ac:dyDescent="0.3">
      <c r="A13" s="57" t="s">
        <v>7</v>
      </c>
      <c r="B13" s="63">
        <f>SUM(B12)</f>
        <v>-295</v>
      </c>
      <c r="C13" s="63">
        <f t="shared" ref="C13:N13" si="4">SUM(C12)</f>
        <v>-60</v>
      </c>
      <c r="D13" s="63">
        <f t="shared" si="4"/>
        <v>-175</v>
      </c>
      <c r="E13" s="63">
        <f t="shared" si="4"/>
        <v>-135</v>
      </c>
      <c r="F13" s="63">
        <f t="shared" si="4"/>
        <v>0</v>
      </c>
      <c r="G13" s="63">
        <f t="shared" si="4"/>
        <v>-90</v>
      </c>
      <c r="H13" s="63">
        <f t="shared" si="4"/>
        <v>0</v>
      </c>
      <c r="I13" s="63">
        <f t="shared" si="4"/>
        <v>0</v>
      </c>
      <c r="J13" s="63">
        <f t="shared" si="4"/>
        <v>0</v>
      </c>
      <c r="K13" s="63">
        <f t="shared" si="4"/>
        <v>0</v>
      </c>
      <c r="L13" s="63">
        <f t="shared" si="4"/>
        <v>0</v>
      </c>
      <c r="M13" s="63">
        <f t="shared" si="4"/>
        <v>0</v>
      </c>
      <c r="N13" s="64">
        <f t="shared" si="4"/>
        <v>-755</v>
      </c>
    </row>
    <row r="14" spans="1:14" x14ac:dyDescent="0.3">
      <c r="N14" s="60"/>
    </row>
    <row r="15" spans="1:14" s="48" customFormat="1" x14ac:dyDescent="0.3">
      <c r="A15" s="65" t="s">
        <v>186</v>
      </c>
      <c r="B15" s="66">
        <f>SUM(B4,B9,B13)</f>
        <v>365</v>
      </c>
      <c r="C15" s="66">
        <f t="shared" ref="C15:N15" si="5">SUM(C4,C9,C13)</f>
        <v>115</v>
      </c>
      <c r="D15" s="67">
        <f t="shared" si="5"/>
        <v>-80</v>
      </c>
      <c r="E15" s="67">
        <f t="shared" si="5"/>
        <v>-135</v>
      </c>
      <c r="F15" s="66">
        <f t="shared" si="5"/>
        <v>0</v>
      </c>
      <c r="G15" s="66">
        <f t="shared" si="5"/>
        <v>30.799999999999997</v>
      </c>
      <c r="H15" s="66">
        <f t="shared" si="5"/>
        <v>0</v>
      </c>
      <c r="I15" s="66">
        <f t="shared" si="5"/>
        <v>0</v>
      </c>
      <c r="J15" s="66">
        <f t="shared" si="5"/>
        <v>0</v>
      </c>
      <c r="K15" s="66">
        <f t="shared" si="5"/>
        <v>417</v>
      </c>
      <c r="L15" s="66">
        <f t="shared" si="5"/>
        <v>0</v>
      </c>
      <c r="M15" s="66">
        <f t="shared" si="5"/>
        <v>0</v>
      </c>
      <c r="N15" s="68">
        <f t="shared" si="5"/>
        <v>712.8</v>
      </c>
    </row>
    <row r="16" spans="1:14" x14ac:dyDescent="0.3">
      <c r="N16" s="60"/>
    </row>
    <row r="17" spans="1:15" x14ac:dyDescent="0.3">
      <c r="A17" s="48" t="s">
        <v>187</v>
      </c>
      <c r="N17" s="60"/>
    </row>
    <row r="18" spans="1:15" x14ac:dyDescent="0.3">
      <c r="A18" s="54" t="s">
        <v>178</v>
      </c>
      <c r="B18" s="69"/>
      <c r="C18" s="61">
        <f>-'Statement Entries 010122-311222'!F32</f>
        <v>-25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2">
        <f t="shared" ref="N18:N21" si="6">SUM(B18:M18)</f>
        <v>-25</v>
      </c>
    </row>
    <row r="19" spans="1:15" x14ac:dyDescent="0.3">
      <c r="A19" s="54" t="s">
        <v>218</v>
      </c>
      <c r="B19" s="69"/>
      <c r="C19" s="69"/>
      <c r="D19" s="69"/>
      <c r="E19" s="69"/>
      <c r="F19" s="69"/>
      <c r="G19" s="61">
        <f>-'Statement Entries 010122-311222'!F17</f>
        <v>-14.39</v>
      </c>
      <c r="H19" s="69"/>
      <c r="I19" s="69"/>
      <c r="J19" s="69"/>
      <c r="K19" s="69"/>
      <c r="L19" s="69"/>
      <c r="M19" s="69"/>
      <c r="N19" s="62">
        <f t="shared" si="6"/>
        <v>-14.39</v>
      </c>
    </row>
    <row r="20" spans="1:15" x14ac:dyDescent="0.3">
      <c r="A20" s="54" t="s">
        <v>219</v>
      </c>
      <c r="B20" s="69"/>
      <c r="C20" s="69"/>
      <c r="D20" s="69"/>
      <c r="E20" s="69"/>
      <c r="F20" s="69"/>
      <c r="G20" s="61">
        <f>-'Statement Entries 010122-311222'!F15</f>
        <v>-71.86</v>
      </c>
      <c r="H20" s="69"/>
      <c r="I20" s="69"/>
      <c r="J20" s="69"/>
      <c r="K20" s="69"/>
      <c r="L20" s="69"/>
      <c r="M20" s="69"/>
      <c r="N20" s="62">
        <f t="shared" si="6"/>
        <v>-71.86</v>
      </c>
    </row>
    <row r="21" spans="1:15" x14ac:dyDescent="0.3">
      <c r="A21" s="57" t="s">
        <v>7</v>
      </c>
      <c r="B21" s="63">
        <f>SUM(B18:B20)</f>
        <v>0</v>
      </c>
      <c r="C21" s="63">
        <f t="shared" ref="C21:M21" si="7">SUM(C18:C20)</f>
        <v>-25</v>
      </c>
      <c r="D21" s="63">
        <f t="shared" si="7"/>
        <v>0</v>
      </c>
      <c r="E21" s="63">
        <f t="shared" si="7"/>
        <v>0</v>
      </c>
      <c r="F21" s="63">
        <f t="shared" si="7"/>
        <v>0</v>
      </c>
      <c r="G21" s="63">
        <f t="shared" si="7"/>
        <v>-86.25</v>
      </c>
      <c r="H21" s="63">
        <f t="shared" si="7"/>
        <v>0</v>
      </c>
      <c r="I21" s="63">
        <f t="shared" si="7"/>
        <v>0</v>
      </c>
      <c r="J21" s="63">
        <f t="shared" si="7"/>
        <v>0</v>
      </c>
      <c r="K21" s="63">
        <f t="shared" si="7"/>
        <v>0</v>
      </c>
      <c r="L21" s="63">
        <f t="shared" si="7"/>
        <v>0</v>
      </c>
      <c r="M21" s="63">
        <f t="shared" si="7"/>
        <v>0</v>
      </c>
      <c r="N21" s="64">
        <f t="shared" si="6"/>
        <v>-111.25</v>
      </c>
    </row>
    <row r="22" spans="1:15" x14ac:dyDescent="0.3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70"/>
    </row>
    <row r="23" spans="1:15" x14ac:dyDescent="0.3">
      <c r="A23" s="48" t="s">
        <v>188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70"/>
    </row>
    <row r="24" spans="1:15" x14ac:dyDescent="0.3">
      <c r="A24" s="54" t="s">
        <v>189</v>
      </c>
      <c r="B24" s="69"/>
      <c r="C24" s="69"/>
      <c r="D24" s="69"/>
      <c r="E24" s="69"/>
      <c r="F24" s="69"/>
      <c r="G24" s="61">
        <f>-'Statement Entries 010122-311222'!F21</f>
        <v>-429.84</v>
      </c>
      <c r="H24" s="69"/>
      <c r="I24" s="69"/>
      <c r="J24" s="69"/>
      <c r="K24" s="61">
        <f>-'Statement Entries 010122-311222'!F8</f>
        <v>-603.54</v>
      </c>
      <c r="L24" s="69"/>
      <c r="M24" s="69"/>
      <c r="N24" s="62">
        <f t="shared" ref="N24:N28" si="8">SUM(B24:M24)</f>
        <v>-1033.3799999999999</v>
      </c>
    </row>
    <row r="25" spans="1:15" x14ac:dyDescent="0.3">
      <c r="A25" s="54" t="s">
        <v>165</v>
      </c>
      <c r="B25" s="69"/>
      <c r="C25" s="69"/>
      <c r="D25" s="69"/>
      <c r="E25" s="69"/>
      <c r="F25" s="61">
        <f>-'Statement Entries 010122-311222'!F22</f>
        <v>-86</v>
      </c>
      <c r="G25" s="61">
        <f>-SUM('Statement Entries 010122-311222'!F20,'Statement Entries 010122-311222'!F13)</f>
        <v>-455.36</v>
      </c>
      <c r="H25" s="69"/>
      <c r="I25" s="69"/>
      <c r="J25" s="61">
        <f>-SUM('Statement Entries 010122-311222'!F9)</f>
        <v>-297.2</v>
      </c>
      <c r="K25" s="69"/>
      <c r="L25" s="69"/>
      <c r="M25" s="61">
        <f>-SUM('Statement Entries 010122-311222'!F5,'Statement Entries 010122-311222'!F4)</f>
        <v>-465.9</v>
      </c>
      <c r="N25" s="62">
        <f t="shared" si="8"/>
        <v>-1304.46</v>
      </c>
    </row>
    <row r="26" spans="1:15" x14ac:dyDescent="0.3">
      <c r="A26" s="54" t="s">
        <v>198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1">
        <f>-SUM('Statement Entries 010122-311222'!F6)</f>
        <v>-18</v>
      </c>
      <c r="N26" s="62">
        <f t="shared" si="8"/>
        <v>-18</v>
      </c>
    </row>
    <row r="27" spans="1:15" x14ac:dyDescent="0.3">
      <c r="A27" s="54" t="s">
        <v>199</v>
      </c>
      <c r="B27" s="69"/>
      <c r="C27" s="69"/>
      <c r="D27" s="69"/>
      <c r="E27" s="69"/>
      <c r="F27" s="69"/>
      <c r="G27" s="61">
        <f>-SUM('Statement Entries 010122-311222'!F12-172.5)</f>
        <v>-31.5</v>
      </c>
      <c r="H27" s="69"/>
      <c r="I27" s="61">
        <f>-SUM('Statement Entries 010122-311222'!F11)</f>
        <v>-5.25</v>
      </c>
      <c r="J27" s="69"/>
      <c r="K27" s="69"/>
      <c r="L27" s="69"/>
      <c r="M27" s="69"/>
      <c r="N27" s="62">
        <f t="shared" si="8"/>
        <v>-36.75</v>
      </c>
    </row>
    <row r="28" spans="1:15" x14ac:dyDescent="0.3">
      <c r="A28" s="57" t="s">
        <v>7</v>
      </c>
      <c r="B28" s="63">
        <f>SUM(B24:B27)</f>
        <v>0</v>
      </c>
      <c r="C28" s="63">
        <f t="shared" ref="C28:M28" si="9">SUM(C24:C27)</f>
        <v>0</v>
      </c>
      <c r="D28" s="63">
        <f t="shared" si="9"/>
        <v>0</v>
      </c>
      <c r="E28" s="63">
        <f t="shared" si="9"/>
        <v>0</v>
      </c>
      <c r="F28" s="63">
        <f t="shared" si="9"/>
        <v>-86</v>
      </c>
      <c r="G28" s="63">
        <f t="shared" si="9"/>
        <v>-916.7</v>
      </c>
      <c r="H28" s="63">
        <f t="shared" si="9"/>
        <v>0</v>
      </c>
      <c r="I28" s="63">
        <f t="shared" si="9"/>
        <v>-5.25</v>
      </c>
      <c r="J28" s="63">
        <f t="shared" si="9"/>
        <v>-297.2</v>
      </c>
      <c r="K28" s="63">
        <f t="shared" si="9"/>
        <v>-603.54</v>
      </c>
      <c r="L28" s="63">
        <f t="shared" si="9"/>
        <v>0</v>
      </c>
      <c r="M28" s="63">
        <f t="shared" si="9"/>
        <v>-483.9</v>
      </c>
      <c r="N28" s="64">
        <f t="shared" si="8"/>
        <v>-2392.59</v>
      </c>
      <c r="O28" s="71"/>
    </row>
    <row r="29" spans="1:15" x14ac:dyDescent="0.3">
      <c r="A29" s="54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70"/>
    </row>
    <row r="30" spans="1:15" x14ac:dyDescent="0.3">
      <c r="A30" s="48" t="s">
        <v>190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70"/>
    </row>
    <row r="31" spans="1:15" x14ac:dyDescent="0.3">
      <c r="A31" s="54" t="s">
        <v>191</v>
      </c>
      <c r="B31" s="69"/>
      <c r="C31" s="69"/>
      <c r="D31" s="69"/>
      <c r="E31" s="69"/>
      <c r="F31" s="69"/>
      <c r="G31" s="61">
        <f>-SUM('Statement Entries 010122-311222'!F12+'2022 Accounts Summary'!G27)</f>
        <v>-172.5</v>
      </c>
      <c r="H31" s="69"/>
      <c r="I31" s="69"/>
      <c r="J31" s="61">
        <f>-SUM('Statement Entries 010122-311222'!F10)</f>
        <v>-174</v>
      </c>
      <c r="K31" s="69"/>
      <c r="L31" s="69"/>
      <c r="M31" s="69"/>
      <c r="N31" s="62">
        <f t="shared" ref="N31:N32" si="10">SUM(B31:M31)</f>
        <v>-346.5</v>
      </c>
    </row>
    <row r="32" spans="1:15" x14ac:dyDescent="0.3">
      <c r="A32" s="57" t="s">
        <v>192</v>
      </c>
      <c r="B32" s="63">
        <f t="shared" ref="B32:M32" si="11">SUM(B31:B31)</f>
        <v>0</v>
      </c>
      <c r="C32" s="63">
        <f t="shared" si="11"/>
        <v>0</v>
      </c>
      <c r="D32" s="63">
        <f t="shared" si="11"/>
        <v>0</v>
      </c>
      <c r="E32" s="63">
        <f t="shared" si="11"/>
        <v>0</v>
      </c>
      <c r="F32" s="63">
        <f t="shared" si="11"/>
        <v>0</v>
      </c>
      <c r="G32" s="63">
        <f t="shared" si="11"/>
        <v>-172.5</v>
      </c>
      <c r="H32" s="63">
        <f t="shared" si="11"/>
        <v>0</v>
      </c>
      <c r="I32" s="63">
        <f t="shared" si="11"/>
        <v>0</v>
      </c>
      <c r="J32" s="63">
        <f t="shared" si="11"/>
        <v>-174</v>
      </c>
      <c r="K32" s="63">
        <f t="shared" si="11"/>
        <v>0</v>
      </c>
      <c r="L32" s="63">
        <f t="shared" si="11"/>
        <v>0</v>
      </c>
      <c r="M32" s="63">
        <f t="shared" si="11"/>
        <v>0</v>
      </c>
      <c r="N32" s="64">
        <f t="shared" si="10"/>
        <v>-346.5</v>
      </c>
    </row>
    <row r="33" spans="1:15" x14ac:dyDescent="0.3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70"/>
    </row>
    <row r="34" spans="1:15" s="48" customFormat="1" x14ac:dyDescent="0.3">
      <c r="A34" s="72" t="s">
        <v>193</v>
      </c>
      <c r="B34" s="67">
        <f>SUM(B21,B28,B32)</f>
        <v>0</v>
      </c>
      <c r="C34" s="67">
        <f t="shared" ref="C34:N34" si="12">SUM(C21,C28,C32)</f>
        <v>-25</v>
      </c>
      <c r="D34" s="67">
        <f t="shared" si="12"/>
        <v>0</v>
      </c>
      <c r="E34" s="67">
        <f t="shared" si="12"/>
        <v>0</v>
      </c>
      <c r="F34" s="67">
        <f t="shared" si="12"/>
        <v>-86</v>
      </c>
      <c r="G34" s="67">
        <f t="shared" si="12"/>
        <v>-1175.45</v>
      </c>
      <c r="H34" s="67">
        <f t="shared" si="12"/>
        <v>0</v>
      </c>
      <c r="I34" s="67">
        <f t="shared" si="12"/>
        <v>-5.25</v>
      </c>
      <c r="J34" s="67">
        <f t="shared" si="12"/>
        <v>-471.2</v>
      </c>
      <c r="K34" s="67">
        <f t="shared" si="12"/>
        <v>-603.54</v>
      </c>
      <c r="L34" s="67">
        <f t="shared" si="12"/>
        <v>0</v>
      </c>
      <c r="M34" s="67">
        <f t="shared" si="12"/>
        <v>-483.9</v>
      </c>
      <c r="N34" s="73">
        <f t="shared" si="12"/>
        <v>-2850.34</v>
      </c>
      <c r="O34" s="74"/>
    </row>
    <row r="35" spans="1:15" x14ac:dyDescent="0.3">
      <c r="N35" s="60"/>
    </row>
    <row r="36" spans="1:15" s="48" customFormat="1" ht="16.2" thickBot="1" x14ac:dyDescent="0.35">
      <c r="A36" s="75" t="s">
        <v>194</v>
      </c>
      <c r="B36" s="76">
        <f>SUM(B15,B34)</f>
        <v>365</v>
      </c>
      <c r="C36" s="76">
        <f t="shared" ref="C36:N36" si="13">SUM(C15,C34)</f>
        <v>90</v>
      </c>
      <c r="D36" s="76">
        <f t="shared" si="13"/>
        <v>-80</v>
      </c>
      <c r="E36" s="76">
        <f t="shared" si="13"/>
        <v>-135</v>
      </c>
      <c r="F36" s="76">
        <f t="shared" si="13"/>
        <v>-86</v>
      </c>
      <c r="G36" s="76">
        <f t="shared" si="13"/>
        <v>-1144.6500000000001</v>
      </c>
      <c r="H36" s="76">
        <f t="shared" si="13"/>
        <v>0</v>
      </c>
      <c r="I36" s="76">
        <f t="shared" si="13"/>
        <v>-5.25</v>
      </c>
      <c r="J36" s="76">
        <f t="shared" si="13"/>
        <v>-471.2</v>
      </c>
      <c r="K36" s="76">
        <f t="shared" si="13"/>
        <v>-186.53999999999996</v>
      </c>
      <c r="L36" s="76">
        <f t="shared" si="13"/>
        <v>0</v>
      </c>
      <c r="M36" s="76">
        <f t="shared" si="13"/>
        <v>-483.9</v>
      </c>
      <c r="N36" s="77">
        <f t="shared" si="13"/>
        <v>-2137.54</v>
      </c>
      <c r="O36" s="74"/>
    </row>
    <row r="37" spans="1:15" ht="16.2" thickTop="1" x14ac:dyDescent="0.3"/>
    <row r="38" spans="1:15" x14ac:dyDescent="0.3">
      <c r="A38" s="48" t="s">
        <v>207</v>
      </c>
    </row>
    <row r="39" spans="1:15" x14ac:dyDescent="0.3">
      <c r="A39" s="54" t="s">
        <v>202</v>
      </c>
      <c r="B39" s="55">
        <f>SUM('Statement Entries 010122-311222'!G37:G48)</f>
        <v>660</v>
      </c>
      <c r="C39" s="55">
        <f>SUM('Statement Entries 010122-311222'!G30:G34)</f>
        <v>175</v>
      </c>
      <c r="D39" s="55">
        <f>SUM('Statement Entries 010122-311222'!G25:G29)</f>
        <v>95</v>
      </c>
      <c r="E39" s="55"/>
      <c r="F39" s="55"/>
      <c r="G39" s="55">
        <f>SUM('Statement Entries 010122-311222'!G12:G21)</f>
        <v>120.8</v>
      </c>
      <c r="H39" s="55"/>
      <c r="I39" s="55"/>
      <c r="J39" s="55"/>
      <c r="K39" s="55">
        <f>SUM('Statement Entries 010122-311222'!G7)</f>
        <v>417</v>
      </c>
      <c r="L39" s="55"/>
      <c r="M39" s="55"/>
      <c r="N39" s="56">
        <f t="shared" ref="N39" si="14">SUM(B39:M39)</f>
        <v>1467.8</v>
      </c>
    </row>
    <row r="40" spans="1:15" x14ac:dyDescent="0.3">
      <c r="A40" s="79" t="s">
        <v>203</v>
      </c>
      <c r="B40" s="80">
        <f>-SUM('Statement Entries 010122-311222'!F35:F42)</f>
        <v>-345</v>
      </c>
      <c r="C40" s="80">
        <f>-SUM('Statement Entries 010122-311222'!F30:F34)</f>
        <v>-85</v>
      </c>
      <c r="D40" s="80">
        <f>-SUM('Statement Entries 010122-311222'!F25:F29)</f>
        <v>-175</v>
      </c>
      <c r="E40" s="80">
        <f>-SUM('Statement Entries 010122-311222'!F23:F24)</f>
        <v>-135</v>
      </c>
      <c r="F40" s="80">
        <f>-SUM('Statement Entries 010122-311222'!F22)</f>
        <v>-86</v>
      </c>
      <c r="G40" s="80">
        <f>-SUM('Statement Entries 010122-311222'!F12:F21)</f>
        <v>-1265.4499999999998</v>
      </c>
      <c r="H40" s="80"/>
      <c r="I40" s="80">
        <f>-SUM('Statement Entries 010122-311222'!F11)</f>
        <v>-5.25</v>
      </c>
      <c r="J40" s="80">
        <f>-SUM('Statement Entries 010122-311222'!F9:F10)</f>
        <v>-471.2</v>
      </c>
      <c r="K40" s="80">
        <f>-SUM('Statement Entries 010122-311222'!F8)</f>
        <v>-603.54</v>
      </c>
      <c r="L40" s="80"/>
      <c r="M40" s="80">
        <f>-SUM('Statement Entries 010122-311222'!F4:F6)</f>
        <v>-483.9</v>
      </c>
      <c r="N40" s="81">
        <f t="shared" ref="N40" si="15">SUM(B40:M40)</f>
        <v>-3655.3399999999997</v>
      </c>
    </row>
    <row r="41" spans="1:15" s="48" customFormat="1" x14ac:dyDescent="0.3">
      <c r="A41" s="72" t="s">
        <v>204</v>
      </c>
      <c r="B41" s="67">
        <f>SUM(B39:B40)</f>
        <v>315</v>
      </c>
      <c r="C41" s="67">
        <f t="shared" ref="C41:N41" si="16">SUM(C39:C40)</f>
        <v>90</v>
      </c>
      <c r="D41" s="67">
        <f t="shared" si="16"/>
        <v>-80</v>
      </c>
      <c r="E41" s="67">
        <f t="shared" si="16"/>
        <v>-135</v>
      </c>
      <c r="F41" s="67">
        <f t="shared" si="16"/>
        <v>-86</v>
      </c>
      <c r="G41" s="67">
        <f t="shared" si="16"/>
        <v>-1144.6499999999999</v>
      </c>
      <c r="H41" s="67">
        <f t="shared" si="16"/>
        <v>0</v>
      </c>
      <c r="I41" s="67">
        <f t="shared" si="16"/>
        <v>-5.25</v>
      </c>
      <c r="J41" s="67">
        <f t="shared" si="16"/>
        <v>-471.2</v>
      </c>
      <c r="K41" s="67">
        <f t="shared" si="16"/>
        <v>-186.53999999999996</v>
      </c>
      <c r="L41" s="67">
        <f t="shared" si="16"/>
        <v>0</v>
      </c>
      <c r="M41" s="67">
        <f t="shared" si="16"/>
        <v>-483.9</v>
      </c>
      <c r="N41" s="73">
        <f t="shared" si="16"/>
        <v>-2187.54</v>
      </c>
      <c r="O41" s="74"/>
    </row>
    <row r="42" spans="1:15" x14ac:dyDescent="0.3">
      <c r="A42" s="82" t="s">
        <v>201</v>
      </c>
      <c r="B42" s="61">
        <f t="shared" ref="B42:N42" si="17">B41-B36</f>
        <v>-50</v>
      </c>
      <c r="C42" s="61">
        <f t="shared" si="17"/>
        <v>0</v>
      </c>
      <c r="D42" s="61">
        <f t="shared" si="17"/>
        <v>0</v>
      </c>
      <c r="E42" s="61">
        <f t="shared" si="17"/>
        <v>0</v>
      </c>
      <c r="F42" s="61">
        <f t="shared" si="17"/>
        <v>0</v>
      </c>
      <c r="G42" s="61">
        <f t="shared" si="17"/>
        <v>0</v>
      </c>
      <c r="H42" s="61">
        <f t="shared" si="17"/>
        <v>0</v>
      </c>
      <c r="I42" s="61">
        <f t="shared" si="17"/>
        <v>0</v>
      </c>
      <c r="J42" s="61">
        <f t="shared" si="17"/>
        <v>0</v>
      </c>
      <c r="K42" s="61">
        <f t="shared" si="17"/>
        <v>0</v>
      </c>
      <c r="L42" s="61">
        <f t="shared" si="17"/>
        <v>0</v>
      </c>
      <c r="M42" s="61">
        <f t="shared" si="17"/>
        <v>0</v>
      </c>
      <c r="N42" s="62">
        <f t="shared" si="17"/>
        <v>-50</v>
      </c>
      <c r="O42" s="71"/>
    </row>
    <row r="43" spans="1:15" x14ac:dyDescent="0.3">
      <c r="A43" s="83" t="s">
        <v>205</v>
      </c>
    </row>
    <row r="44" spans="1:15" ht="15.6" customHeight="1" x14ac:dyDescent="0.3">
      <c r="A44" s="164" t="s">
        <v>206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</row>
    <row r="45" spans="1:15" x14ac:dyDescent="0.3">
      <c r="A45" s="83"/>
    </row>
  </sheetData>
  <mergeCells count="1">
    <mergeCell ref="A44:N44"/>
  </mergeCells>
  <pageMargins left="0.70866141732283472" right="0.70866141732283472" top="0.74803149606299213" bottom="0.74803149606299213" header="0.31496062992125984" footer="0.31496062992125984"/>
  <pageSetup paperSize="9" scale="61" orientation="landscape" horizontalDpi="360" verticalDpi="360" r:id="rId1"/>
  <ignoredErrors>
    <ignoredError sqref="C40 D40:G40 J40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4"/>
  <sheetViews>
    <sheetView showGridLines="0" topLeftCell="A2" workbookViewId="0">
      <selection activeCell="A2" sqref="A2"/>
    </sheetView>
  </sheetViews>
  <sheetFormatPr defaultRowHeight="14.4" x14ac:dyDescent="0.3"/>
  <cols>
    <col min="1" max="1" width="20.109375" bestFit="1" customWidth="1"/>
    <col min="2" max="2" width="7.5546875" bestFit="1" customWidth="1"/>
    <col min="3" max="3" width="7.33203125" bestFit="1" customWidth="1"/>
    <col min="4" max="4" width="6.5546875" bestFit="1" customWidth="1"/>
    <col min="5" max="5" width="7.33203125" bestFit="1" customWidth="1"/>
    <col min="6" max="7" width="6.5546875" bestFit="1" customWidth="1"/>
    <col min="8" max="8" width="5.5546875" bestFit="1" customWidth="1"/>
    <col min="12" max="12" width="9.5546875" customWidth="1"/>
    <col min="13" max="18" width="6.5546875" bestFit="1" customWidth="1"/>
    <col min="19" max="19" width="5.5546875" bestFit="1" customWidth="1"/>
    <col min="23" max="23" width="11.88671875" bestFit="1" customWidth="1"/>
  </cols>
  <sheetData>
    <row r="1" spans="1:25" x14ac:dyDescent="0.3">
      <c r="B1" s="166">
        <v>2020</v>
      </c>
      <c r="C1" s="167"/>
      <c r="D1" s="167"/>
      <c r="E1" s="167"/>
      <c r="F1" s="167"/>
      <c r="G1" s="167"/>
      <c r="H1" s="167"/>
      <c r="I1" s="168"/>
      <c r="J1" s="168"/>
      <c r="K1" s="168"/>
      <c r="L1" s="169"/>
      <c r="M1" s="170">
        <v>2022</v>
      </c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2"/>
    </row>
    <row r="2" spans="1:25" ht="64.2" customHeight="1" x14ac:dyDescent="0.3">
      <c r="A2" s="20" t="s">
        <v>0</v>
      </c>
      <c r="B2" s="3" t="s">
        <v>1</v>
      </c>
      <c r="C2" s="3" t="s">
        <v>2</v>
      </c>
      <c r="D2" s="3" t="s">
        <v>3</v>
      </c>
      <c r="E2" s="3" t="s">
        <v>53</v>
      </c>
      <c r="F2" s="3" t="s">
        <v>4</v>
      </c>
      <c r="G2" s="3" t="s">
        <v>5</v>
      </c>
      <c r="H2" s="3" t="s">
        <v>6</v>
      </c>
      <c r="I2" s="4" t="s">
        <v>7</v>
      </c>
      <c r="J2" s="17" t="s">
        <v>35</v>
      </c>
      <c r="K2" s="17" t="s">
        <v>36</v>
      </c>
      <c r="L2" s="17" t="s">
        <v>39</v>
      </c>
      <c r="M2" s="3" t="s">
        <v>2</v>
      </c>
      <c r="N2" s="3" t="s">
        <v>32</v>
      </c>
      <c r="O2" s="3" t="s">
        <v>33</v>
      </c>
      <c r="P2" s="3" t="s">
        <v>34</v>
      </c>
      <c r="Q2" s="3" t="s">
        <v>4</v>
      </c>
      <c r="R2" s="3" t="s">
        <v>5</v>
      </c>
      <c r="S2" s="3" t="s">
        <v>6</v>
      </c>
      <c r="T2" s="16" t="s">
        <v>7</v>
      </c>
      <c r="U2" s="17" t="s">
        <v>40</v>
      </c>
      <c r="V2" s="17" t="s">
        <v>47</v>
      </c>
      <c r="W2" s="17" t="s">
        <v>41</v>
      </c>
      <c r="X2" s="17" t="s">
        <v>38</v>
      </c>
      <c r="Y2" s="17" t="s">
        <v>52</v>
      </c>
    </row>
    <row r="3" spans="1:25" x14ac:dyDescent="0.3">
      <c r="A3" s="1" t="s">
        <v>8</v>
      </c>
      <c r="B3" s="2">
        <v>100</v>
      </c>
      <c r="C3" s="2">
        <v>15</v>
      </c>
      <c r="D3" s="2">
        <v>15</v>
      </c>
      <c r="E3" s="2">
        <v>15</v>
      </c>
      <c r="F3" s="2">
        <v>15</v>
      </c>
      <c r="G3" s="2">
        <v>15</v>
      </c>
      <c r="H3" s="2">
        <v>5</v>
      </c>
      <c r="I3" s="1"/>
      <c r="J3" s="1"/>
      <c r="K3" s="5"/>
      <c r="L3" s="1"/>
      <c r="M3" s="2">
        <v>15</v>
      </c>
      <c r="N3" s="2">
        <v>15</v>
      </c>
      <c r="O3" s="2">
        <v>15</v>
      </c>
      <c r="P3" s="2">
        <v>15</v>
      </c>
      <c r="Q3" s="2">
        <v>5</v>
      </c>
      <c r="R3" s="2">
        <v>15</v>
      </c>
      <c r="S3" s="2">
        <v>5</v>
      </c>
    </row>
    <row r="4" spans="1:25" x14ac:dyDescent="0.3">
      <c r="A4" t="s">
        <v>9</v>
      </c>
      <c r="B4" s="8"/>
      <c r="C4" s="8"/>
      <c r="D4" s="8"/>
      <c r="E4" s="8"/>
      <c r="F4" s="8"/>
      <c r="G4" s="8"/>
      <c r="H4" s="8"/>
      <c r="I4" s="2">
        <f>B$3*B4+C$3*C4+D$3*D4+E$3*E4+F$3*F4+G$3*G4+H$3*H4</f>
        <v>0</v>
      </c>
      <c r="J4" s="2"/>
      <c r="K4" s="6"/>
      <c r="L4" s="2">
        <f t="shared" ref="L4" si="0">IF(J4&gt;0,J4-H$3,0)</f>
        <v>0</v>
      </c>
      <c r="M4" s="7"/>
      <c r="N4" s="7"/>
      <c r="O4" s="7"/>
      <c r="P4" s="7"/>
      <c r="Q4" s="7"/>
      <c r="R4" s="8"/>
      <c r="S4" s="8"/>
      <c r="T4" s="2"/>
      <c r="W4" s="2">
        <f>IF(T4-L4-U4&gt;0,T4-L4-U4,0)</f>
        <v>0</v>
      </c>
      <c r="X4" s="2">
        <f>IF(L4+U4-T4&gt;0,L4+U4-T4,0)</f>
        <v>0</v>
      </c>
      <c r="Y4" s="13"/>
    </row>
    <row r="5" spans="1:25" x14ac:dyDescent="0.3">
      <c r="A5" t="s">
        <v>10</v>
      </c>
      <c r="B5" s="9"/>
      <c r="C5" s="9">
        <v>1</v>
      </c>
      <c r="D5" s="9">
        <v>1</v>
      </c>
      <c r="E5" s="9">
        <v>1</v>
      </c>
      <c r="F5" s="9">
        <v>1</v>
      </c>
      <c r="G5" s="9">
        <v>1</v>
      </c>
      <c r="H5" s="9">
        <v>1</v>
      </c>
      <c r="I5" s="2">
        <f t="shared" ref="I5:I28" si="1">B$3*B5+C$3*C5+D$3*D5+E$3*E5+F$3*F5+G$3*G5+H$3*H5</f>
        <v>80</v>
      </c>
      <c r="J5" s="2"/>
      <c r="K5" s="6"/>
      <c r="L5" s="2">
        <f>IF(J5&gt;0,J5-H$3,0)</f>
        <v>0</v>
      </c>
      <c r="M5" s="7">
        <v>1</v>
      </c>
      <c r="N5" s="7">
        <v>1</v>
      </c>
      <c r="O5" s="7">
        <v>1</v>
      </c>
      <c r="P5" s="7">
        <v>1</v>
      </c>
      <c r="Q5" s="7">
        <v>1</v>
      </c>
      <c r="R5" s="7">
        <v>1</v>
      </c>
      <c r="S5" s="7">
        <v>1</v>
      </c>
      <c r="T5" s="2">
        <f t="shared" ref="T5:T28" si="2">M$3*M5+N$3*N5+O$3*O5+P$3*P5+Q$3*Q5+R$3*R5+S$3*S5</f>
        <v>85</v>
      </c>
      <c r="U5" s="2">
        <v>85</v>
      </c>
      <c r="V5" s="18" t="s">
        <v>48</v>
      </c>
      <c r="W5" s="2">
        <f>IF(T5-L5-U5&gt;0,T5-L5-U5,0)</f>
        <v>0</v>
      </c>
      <c r="X5" s="2">
        <f>IF(L5+U5-T5&gt;0,L5+U5-T5,0)</f>
        <v>0</v>
      </c>
      <c r="Y5" s="13"/>
    </row>
    <row r="6" spans="1:25" x14ac:dyDescent="0.3">
      <c r="A6" t="s">
        <v>11</v>
      </c>
      <c r="B6" s="7"/>
      <c r="C6" s="7"/>
      <c r="D6" s="7"/>
      <c r="E6" s="7">
        <v>1</v>
      </c>
      <c r="F6" s="7"/>
      <c r="G6" s="7">
        <v>1</v>
      </c>
      <c r="H6" s="7">
        <v>1</v>
      </c>
      <c r="I6" s="2">
        <f t="shared" si="1"/>
        <v>35</v>
      </c>
      <c r="J6" s="2">
        <v>135</v>
      </c>
      <c r="K6" s="6">
        <v>43842</v>
      </c>
      <c r="L6" s="2">
        <f t="shared" ref="L6:L28" si="3">IF(J6&gt;0,J6-H$3,0)</f>
        <v>130</v>
      </c>
      <c r="M6" s="7"/>
      <c r="N6" s="7">
        <v>1</v>
      </c>
      <c r="O6" s="7">
        <v>1</v>
      </c>
      <c r="P6" s="7">
        <v>1</v>
      </c>
      <c r="Q6" s="7">
        <v>1</v>
      </c>
      <c r="R6" s="7"/>
      <c r="S6" s="7">
        <v>1</v>
      </c>
      <c r="T6" s="2">
        <f t="shared" si="2"/>
        <v>55</v>
      </c>
      <c r="U6" s="2">
        <v>55</v>
      </c>
      <c r="V6" s="18" t="s">
        <v>48</v>
      </c>
      <c r="W6" s="2">
        <f>IF(T6-L6-U6&gt;0,T6-L6-U6,0)</f>
        <v>0</v>
      </c>
      <c r="X6" s="2">
        <f>IF(L6+U6-T6&gt;0,L6+U6-T6,0)</f>
        <v>130</v>
      </c>
      <c r="Y6" s="13" t="s">
        <v>48</v>
      </c>
    </row>
    <row r="7" spans="1:25" x14ac:dyDescent="0.3">
      <c r="A7" t="s">
        <v>12</v>
      </c>
      <c r="B7" s="9"/>
      <c r="C7" s="9"/>
      <c r="D7" s="9"/>
      <c r="E7" s="9"/>
      <c r="F7" s="9">
        <v>1</v>
      </c>
      <c r="G7" s="9"/>
      <c r="H7" s="9">
        <v>1</v>
      </c>
      <c r="I7" s="2">
        <f t="shared" si="1"/>
        <v>20</v>
      </c>
      <c r="J7" s="2"/>
      <c r="K7" s="6"/>
      <c r="L7" s="2">
        <f t="shared" si="3"/>
        <v>0</v>
      </c>
      <c r="M7" s="7"/>
      <c r="N7" s="7">
        <v>1</v>
      </c>
      <c r="O7" s="7">
        <v>1</v>
      </c>
      <c r="P7" s="7">
        <v>1</v>
      </c>
      <c r="Q7" s="7">
        <v>1</v>
      </c>
      <c r="R7" s="7"/>
      <c r="S7" s="7">
        <v>1</v>
      </c>
      <c r="T7" s="165">
        <f t="shared" si="2"/>
        <v>55</v>
      </c>
      <c r="U7" s="2">
        <v>50</v>
      </c>
      <c r="V7" s="18" t="s">
        <v>49</v>
      </c>
      <c r="W7" s="2">
        <f>IF(T7-L7-U7-U8&gt;0,T7-L7-U7-U8,0)</f>
        <v>0</v>
      </c>
      <c r="X7" s="2">
        <f>IF(L7+U7-T7&gt;0,L7+U7-T7,0)</f>
        <v>0</v>
      </c>
      <c r="Y7" s="13"/>
    </row>
    <row r="8" spans="1:25" x14ac:dyDescent="0.3">
      <c r="I8" s="2"/>
      <c r="J8" s="2"/>
      <c r="K8" s="6"/>
      <c r="L8" s="2"/>
      <c r="T8" s="165"/>
      <c r="U8" s="2">
        <v>5</v>
      </c>
      <c r="V8" s="18" t="s">
        <v>51</v>
      </c>
      <c r="W8" s="2"/>
      <c r="X8" s="2"/>
      <c r="Y8" s="13"/>
    </row>
    <row r="9" spans="1:25" x14ac:dyDescent="0.3">
      <c r="A9" t="s">
        <v>13</v>
      </c>
      <c r="B9" s="8"/>
      <c r="C9" s="8"/>
      <c r="D9" s="8"/>
      <c r="E9" s="8"/>
      <c r="F9" s="8"/>
      <c r="G9" s="8">
        <v>1</v>
      </c>
      <c r="H9" s="8">
        <v>1</v>
      </c>
      <c r="I9" s="2">
        <f t="shared" si="1"/>
        <v>20</v>
      </c>
      <c r="J9" s="2"/>
      <c r="K9" s="6"/>
      <c r="L9" s="2">
        <f t="shared" si="3"/>
        <v>0</v>
      </c>
      <c r="M9" s="7"/>
      <c r="N9" s="7"/>
      <c r="O9" s="7"/>
      <c r="P9" s="7"/>
      <c r="Q9" s="7"/>
      <c r="R9" s="7"/>
      <c r="S9" s="7"/>
      <c r="T9" s="2"/>
      <c r="U9" s="2"/>
      <c r="V9" s="18"/>
      <c r="W9" s="2">
        <f t="shared" ref="W9:W28" si="4">IF(T9-L9-U9&gt;0,T9-L9-U9,0)</f>
        <v>0</v>
      </c>
      <c r="X9" s="2">
        <f t="shared" ref="X9:X28" si="5">IF(L9+U9-T9&gt;0,L9+U9-T9,0)</f>
        <v>0</v>
      </c>
      <c r="Y9" s="13"/>
    </row>
    <row r="10" spans="1:25" x14ac:dyDescent="0.3">
      <c r="A10" t="s">
        <v>14</v>
      </c>
      <c r="B10" s="7">
        <v>1</v>
      </c>
      <c r="C10" s="7">
        <v>1</v>
      </c>
      <c r="D10" s="7"/>
      <c r="E10" s="7"/>
      <c r="F10" s="7">
        <v>1</v>
      </c>
      <c r="G10" s="7">
        <v>1</v>
      </c>
      <c r="H10" s="7">
        <v>1</v>
      </c>
      <c r="I10" s="2">
        <f t="shared" si="1"/>
        <v>150</v>
      </c>
      <c r="J10" s="2">
        <v>150</v>
      </c>
      <c r="K10" s="6">
        <v>43859</v>
      </c>
      <c r="L10" s="2">
        <f t="shared" si="3"/>
        <v>145</v>
      </c>
      <c r="M10" s="7">
        <v>1</v>
      </c>
      <c r="N10" s="7">
        <v>1</v>
      </c>
      <c r="O10" s="7">
        <v>1</v>
      </c>
      <c r="P10" s="7">
        <v>1</v>
      </c>
      <c r="Q10" s="7">
        <v>1</v>
      </c>
      <c r="R10" s="7">
        <v>1</v>
      </c>
      <c r="S10" s="7">
        <v>1</v>
      </c>
      <c r="T10" s="2">
        <f t="shared" si="2"/>
        <v>85</v>
      </c>
      <c r="U10" s="2">
        <v>85</v>
      </c>
      <c r="V10" s="18" t="s">
        <v>48</v>
      </c>
      <c r="W10" s="2">
        <f t="shared" si="4"/>
        <v>0</v>
      </c>
      <c r="X10" s="2">
        <f t="shared" si="5"/>
        <v>145</v>
      </c>
      <c r="Y10" s="13" t="s">
        <v>51</v>
      </c>
    </row>
    <row r="11" spans="1:25" x14ac:dyDescent="0.3">
      <c r="A11" t="s">
        <v>15</v>
      </c>
      <c r="B11" s="9"/>
      <c r="C11" s="9"/>
      <c r="D11" s="9"/>
      <c r="E11" s="9"/>
      <c r="F11" s="9"/>
      <c r="G11" s="9">
        <v>1</v>
      </c>
      <c r="H11" s="9">
        <v>1</v>
      </c>
      <c r="I11" s="2">
        <f t="shared" si="1"/>
        <v>20</v>
      </c>
      <c r="J11" s="2"/>
      <c r="K11" s="6"/>
      <c r="L11" s="2">
        <f t="shared" si="3"/>
        <v>0</v>
      </c>
      <c r="M11" s="7"/>
      <c r="N11" s="7"/>
      <c r="O11" s="7"/>
      <c r="P11" s="7"/>
      <c r="Q11" s="7"/>
      <c r="R11" s="7"/>
      <c r="S11" s="7"/>
      <c r="T11" s="2"/>
      <c r="U11" s="2"/>
      <c r="V11" s="18"/>
      <c r="W11" s="2">
        <f t="shared" si="4"/>
        <v>0</v>
      </c>
      <c r="X11" s="2">
        <f t="shared" si="5"/>
        <v>0</v>
      </c>
      <c r="Y11" s="13"/>
    </row>
    <row r="12" spans="1:25" x14ac:dyDescent="0.3">
      <c r="A12" t="s">
        <v>16</v>
      </c>
      <c r="B12" s="9"/>
      <c r="C12" s="9">
        <v>1</v>
      </c>
      <c r="D12" s="9"/>
      <c r="E12" s="9">
        <v>1</v>
      </c>
      <c r="F12" s="9">
        <v>1</v>
      </c>
      <c r="G12" s="9"/>
      <c r="H12" s="9">
        <v>1</v>
      </c>
      <c r="I12" s="2">
        <f t="shared" si="1"/>
        <v>50</v>
      </c>
      <c r="J12" s="2"/>
      <c r="K12" s="6"/>
      <c r="L12" s="2">
        <f t="shared" si="3"/>
        <v>0</v>
      </c>
      <c r="M12" s="7">
        <v>1</v>
      </c>
      <c r="N12" s="7">
        <v>1</v>
      </c>
      <c r="O12" s="7">
        <v>1</v>
      </c>
      <c r="P12" s="7">
        <v>1</v>
      </c>
      <c r="Q12" s="7">
        <v>1</v>
      </c>
      <c r="R12" s="7"/>
      <c r="S12" s="7">
        <v>1</v>
      </c>
      <c r="T12" s="2">
        <f t="shared" si="2"/>
        <v>70</v>
      </c>
      <c r="U12" s="2">
        <v>70</v>
      </c>
      <c r="V12" s="18" t="s">
        <v>49</v>
      </c>
      <c r="W12" s="2">
        <f t="shared" si="4"/>
        <v>0</v>
      </c>
      <c r="X12" s="2">
        <f t="shared" si="5"/>
        <v>0</v>
      </c>
      <c r="Y12" s="13"/>
    </row>
    <row r="13" spans="1:25" x14ac:dyDescent="0.3">
      <c r="A13" t="s">
        <v>17</v>
      </c>
      <c r="B13" s="7"/>
      <c r="C13" s="7"/>
      <c r="D13" s="7"/>
      <c r="E13" s="7">
        <v>1</v>
      </c>
      <c r="F13" s="7">
        <v>1</v>
      </c>
      <c r="G13" s="7">
        <v>1</v>
      </c>
      <c r="H13" s="7">
        <v>1</v>
      </c>
      <c r="I13" s="2">
        <f t="shared" si="1"/>
        <v>50</v>
      </c>
      <c r="J13" s="2">
        <v>50</v>
      </c>
      <c r="K13" s="6">
        <v>43917</v>
      </c>
      <c r="L13" s="2">
        <f t="shared" si="3"/>
        <v>45</v>
      </c>
      <c r="T13" s="2"/>
      <c r="V13" s="13"/>
      <c r="W13" s="2">
        <f t="shared" si="4"/>
        <v>0</v>
      </c>
      <c r="X13" s="2">
        <f t="shared" si="5"/>
        <v>45</v>
      </c>
      <c r="Y13" s="13" t="s">
        <v>54</v>
      </c>
    </row>
    <row r="14" spans="1:25" x14ac:dyDescent="0.3">
      <c r="A14" t="s">
        <v>18</v>
      </c>
      <c r="B14" s="8"/>
      <c r="C14" s="8"/>
      <c r="D14" s="8"/>
      <c r="E14" s="8">
        <v>1</v>
      </c>
      <c r="F14" s="8">
        <v>1</v>
      </c>
      <c r="G14" s="8"/>
      <c r="H14" s="8">
        <v>1</v>
      </c>
      <c r="I14" s="2">
        <f t="shared" si="1"/>
        <v>35</v>
      </c>
      <c r="J14" s="2"/>
      <c r="K14" s="6"/>
      <c r="L14" s="2">
        <f t="shared" si="3"/>
        <v>0</v>
      </c>
      <c r="T14" s="2"/>
      <c r="V14" s="13"/>
      <c r="W14" s="2">
        <f t="shared" si="4"/>
        <v>0</v>
      </c>
      <c r="X14" s="2">
        <f t="shared" si="5"/>
        <v>0</v>
      </c>
      <c r="Y14" s="13"/>
    </row>
    <row r="15" spans="1:25" x14ac:dyDescent="0.3">
      <c r="A15" t="s">
        <v>19</v>
      </c>
      <c r="B15" s="7">
        <v>1</v>
      </c>
      <c r="C15" s="7"/>
      <c r="D15" s="7">
        <v>1</v>
      </c>
      <c r="E15" s="7"/>
      <c r="F15" s="7">
        <v>1</v>
      </c>
      <c r="G15" s="7">
        <v>1</v>
      </c>
      <c r="H15" s="7">
        <v>1</v>
      </c>
      <c r="I15" s="2">
        <f t="shared" si="1"/>
        <v>150</v>
      </c>
      <c r="J15" s="2">
        <v>150</v>
      </c>
      <c r="K15" s="6" t="s">
        <v>37</v>
      </c>
      <c r="L15" s="2">
        <f t="shared" si="3"/>
        <v>145</v>
      </c>
      <c r="M15" s="7"/>
      <c r="N15" s="7">
        <v>1</v>
      </c>
      <c r="O15" s="7">
        <v>1</v>
      </c>
      <c r="P15" s="7">
        <v>1</v>
      </c>
      <c r="Q15" s="7">
        <v>1</v>
      </c>
      <c r="R15" s="7">
        <v>1</v>
      </c>
      <c r="S15" s="7">
        <v>1</v>
      </c>
      <c r="T15" s="2">
        <f t="shared" si="2"/>
        <v>70</v>
      </c>
      <c r="U15" s="2">
        <v>0</v>
      </c>
      <c r="V15" s="18" t="s">
        <v>50</v>
      </c>
      <c r="W15" s="2">
        <f t="shared" si="4"/>
        <v>0</v>
      </c>
      <c r="X15" s="2">
        <f t="shared" si="5"/>
        <v>75</v>
      </c>
      <c r="Y15" s="13" t="s">
        <v>55</v>
      </c>
    </row>
    <row r="16" spans="1:25" x14ac:dyDescent="0.3">
      <c r="A16" t="s">
        <v>20</v>
      </c>
      <c r="B16" s="9">
        <v>1</v>
      </c>
      <c r="C16" s="9"/>
      <c r="D16" s="9"/>
      <c r="E16" s="9"/>
      <c r="F16" s="9">
        <v>1</v>
      </c>
      <c r="G16" s="9">
        <v>1</v>
      </c>
      <c r="H16" s="9">
        <v>1</v>
      </c>
      <c r="I16" s="2">
        <f t="shared" si="1"/>
        <v>135</v>
      </c>
      <c r="J16" s="2"/>
      <c r="K16" s="6"/>
      <c r="L16" s="2">
        <f t="shared" si="3"/>
        <v>0</v>
      </c>
      <c r="M16" s="7"/>
      <c r="N16" s="7">
        <v>1</v>
      </c>
      <c r="O16" s="7">
        <v>1</v>
      </c>
      <c r="P16" s="7">
        <v>1</v>
      </c>
      <c r="Q16" s="7">
        <v>1</v>
      </c>
      <c r="R16" s="7">
        <v>1</v>
      </c>
      <c r="S16" s="7">
        <v>1</v>
      </c>
      <c r="T16" s="2">
        <f t="shared" si="2"/>
        <v>70</v>
      </c>
      <c r="U16" s="2">
        <v>70</v>
      </c>
      <c r="V16" s="18" t="s">
        <v>51</v>
      </c>
      <c r="W16" s="2">
        <f t="shared" si="4"/>
        <v>0</v>
      </c>
      <c r="X16" s="2">
        <f t="shared" si="5"/>
        <v>0</v>
      </c>
      <c r="Y16" s="13"/>
    </row>
    <row r="17" spans="1:25" x14ac:dyDescent="0.3">
      <c r="A17" t="s">
        <v>21</v>
      </c>
      <c r="B17" s="8"/>
      <c r="C17" s="8"/>
      <c r="D17" s="8"/>
      <c r="E17" s="8"/>
      <c r="F17" s="8">
        <v>1</v>
      </c>
      <c r="G17" s="8"/>
      <c r="H17" s="8">
        <v>1</v>
      </c>
      <c r="I17" s="2">
        <f t="shared" si="1"/>
        <v>20</v>
      </c>
      <c r="J17" s="2"/>
      <c r="K17" s="6"/>
      <c r="L17" s="2">
        <f t="shared" si="3"/>
        <v>0</v>
      </c>
      <c r="M17" s="7"/>
      <c r="N17" s="7"/>
      <c r="O17" s="7"/>
      <c r="P17" s="7"/>
      <c r="Q17" s="7"/>
      <c r="R17" s="7">
        <v>1</v>
      </c>
      <c r="S17" s="7">
        <v>1</v>
      </c>
      <c r="T17" s="2">
        <f t="shared" si="2"/>
        <v>20</v>
      </c>
      <c r="U17" s="2">
        <v>20</v>
      </c>
      <c r="V17" s="18" t="s">
        <v>51</v>
      </c>
      <c r="W17" s="2">
        <f t="shared" si="4"/>
        <v>0</v>
      </c>
      <c r="X17" s="2">
        <f t="shared" si="5"/>
        <v>0</v>
      </c>
      <c r="Y17" s="13"/>
    </row>
    <row r="18" spans="1:25" x14ac:dyDescent="0.3">
      <c r="A18" t="s">
        <v>22</v>
      </c>
      <c r="B18" s="7"/>
      <c r="C18" s="7"/>
      <c r="D18" s="7"/>
      <c r="E18" s="7">
        <v>1</v>
      </c>
      <c r="F18" s="7"/>
      <c r="G18" s="7">
        <v>1</v>
      </c>
      <c r="H18" s="7">
        <v>1</v>
      </c>
      <c r="I18" s="2">
        <f t="shared" si="1"/>
        <v>35</v>
      </c>
      <c r="J18" s="2">
        <v>35</v>
      </c>
      <c r="K18" s="6" t="s">
        <v>37</v>
      </c>
      <c r="L18" s="2">
        <f t="shared" si="3"/>
        <v>30</v>
      </c>
      <c r="M18" s="7"/>
      <c r="N18" s="7">
        <v>1</v>
      </c>
      <c r="O18" s="7">
        <v>1</v>
      </c>
      <c r="P18" s="7"/>
      <c r="Q18" s="7"/>
      <c r="R18" s="7">
        <v>1</v>
      </c>
      <c r="S18" s="7">
        <v>1</v>
      </c>
      <c r="T18" s="2">
        <f t="shared" si="2"/>
        <v>50</v>
      </c>
      <c r="U18" s="2">
        <v>50</v>
      </c>
      <c r="V18" s="18" t="s">
        <v>48</v>
      </c>
      <c r="W18" s="2">
        <f t="shared" si="4"/>
        <v>0</v>
      </c>
      <c r="X18" s="2">
        <f t="shared" si="5"/>
        <v>30</v>
      </c>
      <c r="Y18" s="13" t="s">
        <v>51</v>
      </c>
    </row>
    <row r="19" spans="1:25" x14ac:dyDescent="0.3">
      <c r="A19" t="s">
        <v>23</v>
      </c>
      <c r="B19" s="7"/>
      <c r="C19" s="7">
        <v>1</v>
      </c>
      <c r="D19" s="7"/>
      <c r="E19" s="7">
        <v>1</v>
      </c>
      <c r="F19" s="7"/>
      <c r="G19" s="7">
        <v>1</v>
      </c>
      <c r="H19" s="7">
        <v>1</v>
      </c>
      <c r="I19" s="2">
        <f t="shared" si="1"/>
        <v>50</v>
      </c>
      <c r="J19" s="2">
        <v>35</v>
      </c>
      <c r="K19" s="6" t="s">
        <v>37</v>
      </c>
      <c r="L19" s="2">
        <f t="shared" si="3"/>
        <v>30</v>
      </c>
      <c r="T19" s="2"/>
      <c r="V19" s="13"/>
      <c r="W19" s="2">
        <f t="shared" si="4"/>
        <v>0</v>
      </c>
      <c r="X19" s="2">
        <f t="shared" si="5"/>
        <v>30</v>
      </c>
      <c r="Y19" s="13" t="s">
        <v>54</v>
      </c>
    </row>
    <row r="20" spans="1:25" x14ac:dyDescent="0.3">
      <c r="A20" t="s">
        <v>24</v>
      </c>
      <c r="B20" s="7"/>
      <c r="C20" s="7"/>
      <c r="D20" s="7">
        <v>1</v>
      </c>
      <c r="E20" s="7"/>
      <c r="F20" s="7">
        <v>1</v>
      </c>
      <c r="G20" s="7">
        <v>1</v>
      </c>
      <c r="H20" s="7">
        <v>1</v>
      </c>
      <c r="I20" s="2">
        <f t="shared" si="1"/>
        <v>50</v>
      </c>
      <c r="J20" s="2">
        <v>65</v>
      </c>
      <c r="K20" s="6">
        <v>43872</v>
      </c>
      <c r="L20" s="2">
        <f t="shared" si="3"/>
        <v>60</v>
      </c>
      <c r="M20" s="7">
        <v>1</v>
      </c>
      <c r="N20" s="7">
        <v>1</v>
      </c>
      <c r="O20" s="7">
        <v>1</v>
      </c>
      <c r="P20" s="7">
        <v>1</v>
      </c>
      <c r="Q20" s="7">
        <v>1</v>
      </c>
      <c r="R20" s="7">
        <v>1</v>
      </c>
      <c r="S20" s="7">
        <v>1</v>
      </c>
      <c r="T20" s="2">
        <f t="shared" si="2"/>
        <v>85</v>
      </c>
      <c r="U20" s="2">
        <v>85</v>
      </c>
      <c r="V20" s="18" t="s">
        <v>48</v>
      </c>
      <c r="W20" s="2">
        <f t="shared" si="4"/>
        <v>0</v>
      </c>
      <c r="X20" s="2">
        <f t="shared" si="5"/>
        <v>60</v>
      </c>
      <c r="Y20" s="13" t="s">
        <v>49</v>
      </c>
    </row>
    <row r="21" spans="1:25" x14ac:dyDescent="0.3">
      <c r="A21" t="s">
        <v>25</v>
      </c>
      <c r="B21" s="7"/>
      <c r="C21" s="7"/>
      <c r="D21" s="7">
        <v>1</v>
      </c>
      <c r="E21" s="7"/>
      <c r="F21" s="7">
        <v>1</v>
      </c>
      <c r="G21" s="7">
        <v>2</v>
      </c>
      <c r="H21" s="7">
        <v>1</v>
      </c>
      <c r="I21" s="2">
        <f t="shared" si="1"/>
        <v>65</v>
      </c>
      <c r="J21" s="2">
        <v>65</v>
      </c>
      <c r="K21" s="6">
        <v>43901</v>
      </c>
      <c r="L21" s="2">
        <f t="shared" si="3"/>
        <v>60</v>
      </c>
      <c r="M21" s="8"/>
      <c r="N21" s="8"/>
      <c r="O21" s="8"/>
      <c r="P21" s="8"/>
      <c r="Q21" s="8"/>
      <c r="R21" s="8"/>
      <c r="S21" s="8"/>
      <c r="T21" s="2"/>
      <c r="V21" s="13"/>
      <c r="W21" s="2">
        <f t="shared" si="4"/>
        <v>0</v>
      </c>
      <c r="X21" s="2">
        <f t="shared" si="5"/>
        <v>60</v>
      </c>
      <c r="Y21" s="13" t="s">
        <v>55</v>
      </c>
    </row>
    <row r="22" spans="1:25" x14ac:dyDescent="0.3">
      <c r="A22" t="s">
        <v>26</v>
      </c>
      <c r="B22" s="9"/>
      <c r="C22" s="9"/>
      <c r="D22" s="9"/>
      <c r="E22" s="9"/>
      <c r="F22" s="9">
        <v>1</v>
      </c>
      <c r="G22" s="9"/>
      <c r="H22" s="9">
        <v>1</v>
      </c>
      <c r="I22" s="2">
        <f t="shared" si="1"/>
        <v>20</v>
      </c>
      <c r="J22" s="2"/>
      <c r="K22" s="6"/>
      <c r="L22" s="2">
        <f t="shared" si="3"/>
        <v>0</v>
      </c>
      <c r="M22" s="7"/>
      <c r="N22" s="7">
        <v>1</v>
      </c>
      <c r="O22" s="7">
        <v>1</v>
      </c>
      <c r="P22" s="7">
        <v>1</v>
      </c>
      <c r="Q22" s="7">
        <v>1</v>
      </c>
      <c r="R22" s="7"/>
      <c r="S22" s="7">
        <v>1</v>
      </c>
      <c r="T22" s="2">
        <f t="shared" si="2"/>
        <v>55</v>
      </c>
      <c r="U22" s="2">
        <v>70</v>
      </c>
      <c r="V22" s="18" t="s">
        <v>48</v>
      </c>
      <c r="W22" s="2">
        <f t="shared" si="4"/>
        <v>0</v>
      </c>
      <c r="X22" s="2">
        <f t="shared" si="5"/>
        <v>15</v>
      </c>
      <c r="Y22" s="13" t="s">
        <v>54</v>
      </c>
    </row>
    <row r="23" spans="1:25" x14ac:dyDescent="0.3">
      <c r="A23" t="s">
        <v>45</v>
      </c>
      <c r="I23" s="2">
        <f t="shared" si="1"/>
        <v>0</v>
      </c>
      <c r="J23" s="2"/>
      <c r="K23" s="6"/>
      <c r="L23" s="2">
        <f t="shared" si="3"/>
        <v>0</v>
      </c>
      <c r="M23" s="7"/>
      <c r="N23" s="7">
        <v>1</v>
      </c>
      <c r="O23" s="7">
        <v>1</v>
      </c>
      <c r="P23" s="7">
        <v>1</v>
      </c>
      <c r="Q23" s="7">
        <v>1</v>
      </c>
      <c r="R23" s="7"/>
      <c r="S23" s="7">
        <v>1</v>
      </c>
      <c r="T23" s="2">
        <f t="shared" si="2"/>
        <v>55</v>
      </c>
      <c r="U23" s="2">
        <v>55</v>
      </c>
      <c r="V23" s="18" t="s">
        <v>49</v>
      </c>
      <c r="W23" s="2">
        <f t="shared" si="4"/>
        <v>0</v>
      </c>
      <c r="X23" s="2">
        <f t="shared" si="5"/>
        <v>0</v>
      </c>
      <c r="Y23" s="13"/>
    </row>
    <row r="24" spans="1:25" x14ac:dyDescent="0.3">
      <c r="A24" t="s">
        <v>27</v>
      </c>
      <c r="B24" s="9"/>
      <c r="C24" s="9"/>
      <c r="D24" s="9"/>
      <c r="E24" s="9"/>
      <c r="F24" s="9">
        <v>1</v>
      </c>
      <c r="G24" s="9">
        <v>1</v>
      </c>
      <c r="H24" s="9">
        <v>1</v>
      </c>
      <c r="I24" s="2">
        <f t="shared" si="1"/>
        <v>35</v>
      </c>
      <c r="J24" s="2">
        <v>35</v>
      </c>
      <c r="K24" s="6"/>
      <c r="L24" s="2">
        <f t="shared" si="3"/>
        <v>30</v>
      </c>
      <c r="M24" s="7">
        <v>1</v>
      </c>
      <c r="N24" s="7">
        <v>1</v>
      </c>
      <c r="O24" s="7">
        <v>1</v>
      </c>
      <c r="P24" s="7">
        <v>1</v>
      </c>
      <c r="Q24" s="7">
        <v>1</v>
      </c>
      <c r="R24" s="7">
        <v>1</v>
      </c>
      <c r="S24" s="7">
        <v>1</v>
      </c>
      <c r="T24" s="2">
        <f t="shared" si="2"/>
        <v>85</v>
      </c>
      <c r="U24" s="2">
        <v>55</v>
      </c>
      <c r="V24" s="18" t="s">
        <v>48</v>
      </c>
      <c r="W24" s="2">
        <f t="shared" si="4"/>
        <v>0</v>
      </c>
      <c r="X24" s="2">
        <f t="shared" si="5"/>
        <v>0</v>
      </c>
      <c r="Y24" s="13"/>
    </row>
    <row r="25" spans="1:25" x14ac:dyDescent="0.3">
      <c r="A25" t="s">
        <v>28</v>
      </c>
      <c r="B25" s="7"/>
      <c r="C25" s="7"/>
      <c r="D25" s="7"/>
      <c r="E25" s="7"/>
      <c r="F25" s="7">
        <v>2</v>
      </c>
      <c r="G25" s="7">
        <v>1</v>
      </c>
      <c r="H25" s="7">
        <v>1</v>
      </c>
      <c r="I25" s="2">
        <f t="shared" si="1"/>
        <v>50</v>
      </c>
      <c r="J25" s="2">
        <v>50</v>
      </c>
      <c r="K25" s="6">
        <v>43860</v>
      </c>
      <c r="L25" s="2">
        <f t="shared" si="3"/>
        <v>45</v>
      </c>
      <c r="M25" s="7"/>
      <c r="N25" s="7">
        <v>1</v>
      </c>
      <c r="O25" s="7">
        <v>1</v>
      </c>
      <c r="P25" s="7">
        <v>1</v>
      </c>
      <c r="Q25" s="7">
        <v>1</v>
      </c>
      <c r="R25" s="7">
        <v>1</v>
      </c>
      <c r="S25" s="7">
        <v>1</v>
      </c>
      <c r="T25" s="2">
        <f t="shared" si="2"/>
        <v>70</v>
      </c>
      <c r="U25" s="2">
        <v>25</v>
      </c>
      <c r="V25" s="18" t="s">
        <v>48</v>
      </c>
      <c r="W25" s="2">
        <f t="shared" si="4"/>
        <v>0</v>
      </c>
      <c r="X25" s="2">
        <f t="shared" si="5"/>
        <v>0</v>
      </c>
      <c r="Y25" s="13"/>
    </row>
    <row r="26" spans="1:25" x14ac:dyDescent="0.3">
      <c r="A26" t="s">
        <v>29</v>
      </c>
      <c r="B26" s="7">
        <v>1</v>
      </c>
      <c r="C26" s="7">
        <v>1</v>
      </c>
      <c r="D26" s="7"/>
      <c r="E26" s="7">
        <v>1</v>
      </c>
      <c r="F26" s="7">
        <v>1</v>
      </c>
      <c r="G26" s="7">
        <v>1</v>
      </c>
      <c r="H26" s="7">
        <v>1</v>
      </c>
      <c r="I26" s="2">
        <f t="shared" si="1"/>
        <v>165</v>
      </c>
      <c r="J26" s="2">
        <v>165</v>
      </c>
      <c r="K26" s="6" t="s">
        <v>37</v>
      </c>
      <c r="L26" s="2">
        <f t="shared" si="3"/>
        <v>160</v>
      </c>
      <c r="M26" s="7">
        <v>1</v>
      </c>
      <c r="N26" s="7">
        <v>1</v>
      </c>
      <c r="O26" s="7">
        <v>1</v>
      </c>
      <c r="P26" s="7">
        <v>1</v>
      </c>
      <c r="Q26" s="7">
        <v>1</v>
      </c>
      <c r="R26" s="7">
        <v>1</v>
      </c>
      <c r="S26" s="7">
        <v>1</v>
      </c>
      <c r="T26" s="2">
        <f t="shared" si="2"/>
        <v>85</v>
      </c>
      <c r="U26" s="2">
        <v>0</v>
      </c>
      <c r="V26" s="18" t="s">
        <v>50</v>
      </c>
      <c r="W26" s="2">
        <f t="shared" si="4"/>
        <v>0</v>
      </c>
      <c r="X26" s="2">
        <f t="shared" si="5"/>
        <v>75</v>
      </c>
      <c r="Y26" s="13" t="s">
        <v>48</v>
      </c>
    </row>
    <row r="27" spans="1:25" x14ac:dyDescent="0.3">
      <c r="A27" t="s">
        <v>30</v>
      </c>
      <c r="B27" s="9"/>
      <c r="C27" s="9"/>
      <c r="D27" s="9">
        <v>1</v>
      </c>
      <c r="E27" s="9"/>
      <c r="F27" s="9">
        <v>1</v>
      </c>
      <c r="G27" s="9"/>
      <c r="H27" s="9">
        <v>1</v>
      </c>
      <c r="I27" s="2">
        <f t="shared" si="1"/>
        <v>35</v>
      </c>
      <c r="J27" s="2"/>
      <c r="K27" s="6"/>
      <c r="L27" s="2">
        <f t="shared" si="3"/>
        <v>0</v>
      </c>
      <c r="M27" s="7">
        <v>1</v>
      </c>
      <c r="N27" s="7">
        <v>2</v>
      </c>
      <c r="O27" s="7">
        <v>2</v>
      </c>
      <c r="P27" s="7">
        <v>2</v>
      </c>
      <c r="Q27" s="7">
        <v>2</v>
      </c>
      <c r="R27" s="7">
        <v>2</v>
      </c>
      <c r="S27" s="7">
        <v>1</v>
      </c>
      <c r="T27" s="2">
        <f t="shared" si="2"/>
        <v>150</v>
      </c>
      <c r="U27" s="2">
        <v>150</v>
      </c>
      <c r="V27" s="18" t="s">
        <v>48</v>
      </c>
      <c r="W27" s="2">
        <f t="shared" si="4"/>
        <v>0</v>
      </c>
      <c r="X27" s="2">
        <f t="shared" si="5"/>
        <v>0</v>
      </c>
      <c r="Y27" s="13"/>
    </row>
    <row r="28" spans="1:25" x14ac:dyDescent="0.3">
      <c r="A28" t="s">
        <v>31</v>
      </c>
      <c r="B28" s="7">
        <v>1</v>
      </c>
      <c r="C28" s="7"/>
      <c r="D28" s="7">
        <v>1</v>
      </c>
      <c r="E28" s="7">
        <v>1</v>
      </c>
      <c r="F28" s="7">
        <v>1</v>
      </c>
      <c r="G28" s="7">
        <v>1</v>
      </c>
      <c r="H28" s="7">
        <v>1</v>
      </c>
      <c r="I28" s="2">
        <f t="shared" si="1"/>
        <v>165</v>
      </c>
      <c r="J28" s="2">
        <v>165</v>
      </c>
      <c r="K28" s="6">
        <v>43923</v>
      </c>
      <c r="L28" s="2">
        <f t="shared" si="3"/>
        <v>160</v>
      </c>
      <c r="M28" s="7"/>
      <c r="N28" s="7">
        <v>1</v>
      </c>
      <c r="O28" s="7">
        <v>1</v>
      </c>
      <c r="P28" s="7">
        <v>1</v>
      </c>
      <c r="Q28" s="7">
        <v>1</v>
      </c>
      <c r="R28" s="7">
        <v>1</v>
      </c>
      <c r="S28" s="7">
        <v>1</v>
      </c>
      <c r="T28" s="2">
        <f t="shared" si="2"/>
        <v>70</v>
      </c>
      <c r="U28" s="2">
        <v>0</v>
      </c>
      <c r="V28" s="18" t="s">
        <v>50</v>
      </c>
      <c r="W28" s="2">
        <f t="shared" si="4"/>
        <v>0</v>
      </c>
      <c r="X28" s="2">
        <f t="shared" si="5"/>
        <v>90</v>
      </c>
      <c r="Y28" s="13" t="s">
        <v>48</v>
      </c>
    </row>
    <row r="29" spans="1:25" x14ac:dyDescent="0.3">
      <c r="A29" s="1" t="s">
        <v>7</v>
      </c>
      <c r="B29">
        <f t="shared" ref="B29:I29" si="6">SUM(B4:B28)</f>
        <v>5</v>
      </c>
      <c r="C29">
        <f t="shared" si="6"/>
        <v>5</v>
      </c>
      <c r="D29">
        <f t="shared" si="6"/>
        <v>6</v>
      </c>
      <c r="E29">
        <f t="shared" si="6"/>
        <v>9</v>
      </c>
      <c r="F29">
        <f t="shared" si="6"/>
        <v>18</v>
      </c>
      <c r="G29">
        <f t="shared" si="6"/>
        <v>17</v>
      </c>
      <c r="H29">
        <f t="shared" si="6"/>
        <v>22</v>
      </c>
      <c r="I29" s="2">
        <f t="shared" si="6"/>
        <v>1435</v>
      </c>
      <c r="M29" s="34">
        <f t="shared" ref="M29" si="7">SUM(M4:M28)</f>
        <v>7</v>
      </c>
      <c r="N29" s="35">
        <f t="shared" ref="N29" si="8">SUM(N4:N28)</f>
        <v>17</v>
      </c>
      <c r="O29" s="35">
        <f t="shared" ref="O29" si="9">SUM(O4:O28)</f>
        <v>17</v>
      </c>
      <c r="P29" s="35">
        <f t="shared" ref="P29" si="10">SUM(P4:P28)</f>
        <v>16</v>
      </c>
      <c r="Q29" s="35">
        <f t="shared" ref="Q29" si="11">SUM(Q4:Q28)</f>
        <v>16</v>
      </c>
      <c r="R29" s="36">
        <f t="shared" ref="R29:W29" si="12">SUM(R4:R28)</f>
        <v>13</v>
      </c>
      <c r="S29" s="21">
        <f t="shared" si="12"/>
        <v>17</v>
      </c>
      <c r="T29" s="15">
        <f t="shared" si="12"/>
        <v>1215</v>
      </c>
      <c r="U29" s="15">
        <f t="shared" si="12"/>
        <v>930</v>
      </c>
      <c r="V29" s="15"/>
      <c r="W29" s="15">
        <f t="shared" si="12"/>
        <v>0</v>
      </c>
      <c r="X29" s="15">
        <f t="shared" ref="X29" si="13">SUM(X4:X28)</f>
        <v>755</v>
      </c>
    </row>
    <row r="30" spans="1:25" x14ac:dyDescent="0.3">
      <c r="I30" s="2"/>
      <c r="M30" s="37" t="s">
        <v>100</v>
      </c>
      <c r="N30" s="37"/>
      <c r="O30" s="37">
        <f>SUM(M29:R29)</f>
        <v>86</v>
      </c>
      <c r="P30" s="37"/>
      <c r="Q30" s="37"/>
      <c r="R30" s="37"/>
    </row>
    <row r="31" spans="1:25" x14ac:dyDescent="0.3">
      <c r="A31" s="14"/>
      <c r="B31" s="10" t="s">
        <v>44</v>
      </c>
      <c r="I31" s="2"/>
      <c r="M31" t="s">
        <v>102</v>
      </c>
      <c r="N31" s="21"/>
      <c r="O31">
        <f>Q29</f>
        <v>16</v>
      </c>
      <c r="P31" s="21" t="s">
        <v>101</v>
      </c>
      <c r="Q31" s="2">
        <f>Q3</f>
        <v>5</v>
      </c>
      <c r="R31" s="38">
        <f>O31*Q31</f>
        <v>80</v>
      </c>
    </row>
    <row r="32" spans="1:25" x14ac:dyDescent="0.3">
      <c r="A32" s="11"/>
      <c r="B32" s="10" t="s">
        <v>42</v>
      </c>
      <c r="M32" t="s">
        <v>103</v>
      </c>
      <c r="O32">
        <f>O30-O31</f>
        <v>70</v>
      </c>
      <c r="P32" s="21" t="s">
        <v>101</v>
      </c>
      <c r="Q32" s="2">
        <f>M3</f>
        <v>15</v>
      </c>
      <c r="R32" s="38">
        <f>O32*Q32</f>
        <v>1050</v>
      </c>
    </row>
    <row r="33" spans="1:18" x14ac:dyDescent="0.3">
      <c r="A33" s="12"/>
      <c r="B33" s="10" t="s">
        <v>43</v>
      </c>
      <c r="M33" t="s">
        <v>6</v>
      </c>
      <c r="O33">
        <f>S29</f>
        <v>17</v>
      </c>
      <c r="P33" s="21" t="s">
        <v>101</v>
      </c>
      <c r="Q33" s="2">
        <f>S3</f>
        <v>5</v>
      </c>
      <c r="R33" s="38">
        <f>O33*Q33</f>
        <v>85</v>
      </c>
    </row>
    <row r="34" spans="1:18" x14ac:dyDescent="0.3">
      <c r="R34" s="39">
        <f>SUM(R31:R33)</f>
        <v>1215</v>
      </c>
    </row>
  </sheetData>
  <mergeCells count="3">
    <mergeCell ref="T7:T8"/>
    <mergeCell ref="B1:L1"/>
    <mergeCell ref="M1:Y1"/>
  </mergeCells>
  <pageMargins left="0.70866141732283472" right="0.70866141732283472" top="0.74803149606299213" bottom="0.74803149606299213" header="0.31496062992125984" footer="0.31496062992125984"/>
  <pageSetup paperSize="9" scale="64" orientation="landscape" horizontalDpi="360" verticalDpi="360" r:id="rId1"/>
  <ignoredErrors>
    <ignoredError sqref="M29:S29 B29:H29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21"/>
  <sheetViews>
    <sheetView workbookViewId="0">
      <selection activeCell="M1" sqref="M1"/>
    </sheetView>
  </sheetViews>
  <sheetFormatPr defaultRowHeight="14.4" x14ac:dyDescent="0.3"/>
  <cols>
    <col min="1" max="1" width="22.88671875" customWidth="1"/>
    <col min="3" max="3" width="13.33203125" bestFit="1" customWidth="1"/>
    <col min="4" max="4" width="13.33203125" customWidth="1"/>
    <col min="5" max="5" width="10.6640625" style="13" bestFit="1" customWidth="1"/>
    <col min="6" max="8" width="8.88671875" style="13"/>
    <col min="9" max="9" width="9.109375" style="13" bestFit="1" customWidth="1"/>
    <col min="10" max="10" width="9.6640625" style="13" bestFit="1" customWidth="1"/>
    <col min="11" max="11" width="9.6640625" style="13" customWidth="1"/>
    <col min="12" max="12" width="10.33203125" style="13" bestFit="1" customWidth="1"/>
    <col min="13" max="13" width="15.44140625" style="13" bestFit="1" customWidth="1"/>
    <col min="14" max="14" width="13.109375" style="13" bestFit="1" customWidth="1"/>
    <col min="15" max="15" width="10" style="13" bestFit="1" customWidth="1"/>
    <col min="16" max="16" width="15.109375" style="13" bestFit="1" customWidth="1"/>
    <col min="17" max="17" width="44.33203125" customWidth="1"/>
  </cols>
  <sheetData>
    <row r="1" spans="1:17" s="21" customFormat="1" ht="28.8" x14ac:dyDescent="0.3">
      <c r="A1" s="20" t="s">
        <v>56</v>
      </c>
      <c r="B1" s="20" t="s">
        <v>57</v>
      </c>
      <c r="C1" s="20" t="s">
        <v>58</v>
      </c>
      <c r="D1" s="20" t="s">
        <v>59</v>
      </c>
      <c r="E1" s="31" t="s">
        <v>60</v>
      </c>
      <c r="F1" s="40" t="s">
        <v>104</v>
      </c>
      <c r="G1" s="40" t="s">
        <v>105</v>
      </c>
      <c r="H1" s="31" t="s">
        <v>106</v>
      </c>
      <c r="I1" s="31" t="s">
        <v>61</v>
      </c>
      <c r="J1" s="31" t="s">
        <v>62</v>
      </c>
      <c r="K1" s="31" t="s">
        <v>63</v>
      </c>
      <c r="L1" s="31" t="s">
        <v>64</v>
      </c>
      <c r="M1" s="31" t="s">
        <v>65</v>
      </c>
      <c r="N1" s="31" t="s">
        <v>66</v>
      </c>
      <c r="O1" s="31" t="s">
        <v>107</v>
      </c>
      <c r="P1" s="31" t="s">
        <v>67</v>
      </c>
      <c r="Q1" s="20" t="s">
        <v>68</v>
      </c>
    </row>
    <row r="2" spans="1:17" s="19" customFormat="1" ht="28.2" customHeight="1" x14ac:dyDescent="0.3">
      <c r="A2" s="19" t="s">
        <v>69</v>
      </c>
      <c r="B2" s="19" t="s">
        <v>70</v>
      </c>
      <c r="C2" s="19" t="s">
        <v>71</v>
      </c>
      <c r="D2" s="19" t="s">
        <v>72</v>
      </c>
      <c r="E2" s="24">
        <v>6</v>
      </c>
      <c r="F2" s="25">
        <v>498</v>
      </c>
      <c r="G2" s="25">
        <v>291.83999999999997</v>
      </c>
      <c r="H2" s="26">
        <v>50</v>
      </c>
      <c r="I2" s="27">
        <f t="shared" ref="I2:I3" si="0">IF(H2=0,F2-G2-H2,IF(F2-G2-H2&lt;0,0,F2-G2-H2))</f>
        <v>156.16000000000003</v>
      </c>
      <c r="J2" s="24" t="s">
        <v>73</v>
      </c>
      <c r="K2" s="24"/>
      <c r="L2" s="30">
        <f>G2/3</f>
        <v>97.279999999999987</v>
      </c>
      <c r="M2" s="30">
        <f>L2/E2</f>
        <v>16.213333333333331</v>
      </c>
      <c r="N2" s="26">
        <f>G2/E2</f>
        <v>48.639999999999993</v>
      </c>
      <c r="O2" s="26">
        <f>F2/E2</f>
        <v>83</v>
      </c>
      <c r="P2" s="26">
        <f t="shared" ref="P2:P13" si="1">(I2+K2)/E2</f>
        <v>26.026666666666671</v>
      </c>
      <c r="Q2" s="19" t="s">
        <v>74</v>
      </c>
    </row>
    <row r="3" spans="1:17" s="19" customFormat="1" ht="28.2" customHeight="1" x14ac:dyDescent="0.3">
      <c r="A3" s="19" t="s">
        <v>69</v>
      </c>
      <c r="B3" s="19" t="s">
        <v>75</v>
      </c>
      <c r="C3" s="19" t="s">
        <v>76</v>
      </c>
      <c r="D3" s="19" t="s">
        <v>29</v>
      </c>
      <c r="E3" s="24">
        <v>4</v>
      </c>
      <c r="F3" s="25">
        <v>447</v>
      </c>
      <c r="G3" s="25">
        <v>361</v>
      </c>
      <c r="H3" s="26">
        <v>0</v>
      </c>
      <c r="I3" s="27">
        <f t="shared" si="0"/>
        <v>86</v>
      </c>
      <c r="J3" s="24" t="s">
        <v>73</v>
      </c>
      <c r="K3" s="24"/>
      <c r="L3" s="30">
        <f t="shared" ref="L3:L14" si="2">G3/3</f>
        <v>120.33333333333333</v>
      </c>
      <c r="M3" s="30">
        <f t="shared" ref="M3:M14" si="3">L3/E3</f>
        <v>30.083333333333332</v>
      </c>
      <c r="N3" s="26">
        <f t="shared" ref="N3:N14" si="4">G3/E3</f>
        <v>90.25</v>
      </c>
      <c r="O3" s="26">
        <f t="shared" ref="O3:O14" si="5">F3/E3</f>
        <v>111.75</v>
      </c>
      <c r="P3" s="26">
        <f t="shared" si="1"/>
        <v>21.5</v>
      </c>
      <c r="Q3" s="19" t="s">
        <v>77</v>
      </c>
    </row>
    <row r="4" spans="1:17" s="19" customFormat="1" ht="28.2" customHeight="1" x14ac:dyDescent="0.3">
      <c r="A4" s="19" t="s">
        <v>69</v>
      </c>
      <c r="B4" s="19" t="s">
        <v>78</v>
      </c>
      <c r="C4" s="19" t="s">
        <v>45</v>
      </c>
      <c r="D4" s="19" t="s">
        <v>45</v>
      </c>
      <c r="E4" s="24">
        <v>7</v>
      </c>
      <c r="F4" s="25">
        <v>739.2</v>
      </c>
      <c r="G4" s="25">
        <v>708</v>
      </c>
      <c r="H4" s="26">
        <v>50</v>
      </c>
      <c r="I4" s="26">
        <f>IF(H4=0,F4-G4-H4,IF(F4-G4-H4&lt;0,0,F4-G4-H4))</f>
        <v>0</v>
      </c>
      <c r="J4" s="24" t="s">
        <v>79</v>
      </c>
      <c r="K4" s="24"/>
      <c r="L4" s="30">
        <f t="shared" si="2"/>
        <v>236</v>
      </c>
      <c r="M4" s="30">
        <f t="shared" si="3"/>
        <v>33.714285714285715</v>
      </c>
      <c r="N4" s="26">
        <f t="shared" si="4"/>
        <v>101.14285714285714</v>
      </c>
      <c r="O4" s="26">
        <f t="shared" si="5"/>
        <v>105.60000000000001</v>
      </c>
      <c r="P4" s="26">
        <f t="shared" si="1"/>
        <v>0</v>
      </c>
    </row>
    <row r="5" spans="1:17" s="19" customFormat="1" ht="28.2" customHeight="1" x14ac:dyDescent="0.3">
      <c r="A5" s="19" t="s">
        <v>80</v>
      </c>
      <c r="B5" s="19" t="s">
        <v>70</v>
      </c>
      <c r="C5" s="19" t="s">
        <v>31</v>
      </c>
      <c r="D5" s="19" t="s">
        <v>31</v>
      </c>
      <c r="E5" s="24">
        <v>6</v>
      </c>
      <c r="F5" s="28"/>
      <c r="G5" s="28"/>
      <c r="H5" s="26">
        <v>50</v>
      </c>
      <c r="I5" s="26">
        <f t="shared" ref="I5:I14" si="6">IF(H5=0,F5-G5-H5,IF(F5-G5-H5&lt;0,0,F5-G5-H5))</f>
        <v>0</v>
      </c>
      <c r="J5" s="24" t="s">
        <v>81</v>
      </c>
      <c r="K5" s="24"/>
      <c r="L5" s="30">
        <f t="shared" si="2"/>
        <v>0</v>
      </c>
      <c r="M5" s="30">
        <f t="shared" si="3"/>
        <v>0</v>
      </c>
      <c r="N5" s="26">
        <f t="shared" si="4"/>
        <v>0</v>
      </c>
      <c r="O5" s="26">
        <f t="shared" si="5"/>
        <v>0</v>
      </c>
      <c r="P5" s="26">
        <f t="shared" si="1"/>
        <v>0</v>
      </c>
    </row>
    <row r="6" spans="1:17" s="19" customFormat="1" ht="28.2" customHeight="1" x14ac:dyDescent="0.3">
      <c r="A6" s="19" t="s">
        <v>80</v>
      </c>
      <c r="B6" s="19" t="s">
        <v>75</v>
      </c>
      <c r="C6" s="19" t="s">
        <v>9</v>
      </c>
      <c r="D6" s="19" t="s">
        <v>82</v>
      </c>
      <c r="E6" s="24">
        <v>5</v>
      </c>
      <c r="F6" s="27">
        <v>429.84</v>
      </c>
      <c r="G6" s="27">
        <v>120.8</v>
      </c>
      <c r="H6" s="26">
        <v>0</v>
      </c>
      <c r="I6" s="26">
        <f t="shared" si="6"/>
        <v>309.03999999999996</v>
      </c>
      <c r="J6" s="24" t="s">
        <v>83</v>
      </c>
      <c r="K6" s="24"/>
      <c r="L6" s="30">
        <f t="shared" si="2"/>
        <v>40.266666666666666</v>
      </c>
      <c r="M6" s="30">
        <f t="shared" si="3"/>
        <v>8.0533333333333328</v>
      </c>
      <c r="N6" s="26">
        <f t="shared" si="4"/>
        <v>24.16</v>
      </c>
      <c r="O6" s="26">
        <f t="shared" si="5"/>
        <v>85.967999999999989</v>
      </c>
      <c r="P6" s="26">
        <f t="shared" si="1"/>
        <v>61.807999999999993</v>
      </c>
      <c r="Q6" s="22" t="s">
        <v>84</v>
      </c>
    </row>
    <row r="7" spans="1:17" s="19" customFormat="1" ht="28.2" customHeight="1" x14ac:dyDescent="0.3">
      <c r="A7" s="19" t="s">
        <v>80</v>
      </c>
      <c r="B7" s="19" t="s">
        <v>78</v>
      </c>
      <c r="C7" s="19" t="s">
        <v>45</v>
      </c>
      <c r="D7" s="19" t="s">
        <v>45</v>
      </c>
      <c r="E7" s="24">
        <v>6</v>
      </c>
      <c r="F7" s="25">
        <f>679.2+60</f>
        <v>739.2</v>
      </c>
      <c r="G7" s="25">
        <v>390</v>
      </c>
      <c r="H7" s="26">
        <v>50</v>
      </c>
      <c r="I7" s="27">
        <f t="shared" si="6"/>
        <v>299.20000000000005</v>
      </c>
      <c r="J7" s="24" t="s">
        <v>73</v>
      </c>
      <c r="K7" s="24"/>
      <c r="L7" s="30">
        <f t="shared" si="2"/>
        <v>130</v>
      </c>
      <c r="M7" s="30">
        <f t="shared" si="3"/>
        <v>21.666666666666668</v>
      </c>
      <c r="N7" s="26">
        <f t="shared" si="4"/>
        <v>65</v>
      </c>
      <c r="O7" s="26">
        <f t="shared" si="5"/>
        <v>123.2</v>
      </c>
      <c r="P7" s="26">
        <f t="shared" si="1"/>
        <v>49.866666666666674</v>
      </c>
    </row>
    <row r="8" spans="1:17" s="19" customFormat="1" ht="28.2" customHeight="1" x14ac:dyDescent="0.3">
      <c r="A8" s="19" t="s">
        <v>85</v>
      </c>
      <c r="B8" s="19" t="s">
        <v>70</v>
      </c>
      <c r="C8" s="19" t="s">
        <v>31</v>
      </c>
      <c r="D8" s="19" t="s">
        <v>31</v>
      </c>
      <c r="E8" s="24">
        <v>6</v>
      </c>
      <c r="F8" s="28"/>
      <c r="G8" s="28"/>
      <c r="H8" s="26">
        <v>50</v>
      </c>
      <c r="I8" s="26">
        <f t="shared" si="6"/>
        <v>0</v>
      </c>
      <c r="J8" s="24" t="s">
        <v>81</v>
      </c>
      <c r="K8" s="24"/>
      <c r="L8" s="30">
        <f t="shared" si="2"/>
        <v>0</v>
      </c>
      <c r="M8" s="30">
        <f t="shared" si="3"/>
        <v>0</v>
      </c>
      <c r="N8" s="26">
        <f t="shared" si="4"/>
        <v>0</v>
      </c>
      <c r="O8" s="26">
        <f t="shared" si="5"/>
        <v>0</v>
      </c>
      <c r="P8" s="26">
        <f t="shared" si="1"/>
        <v>0</v>
      </c>
    </row>
    <row r="9" spans="1:17" s="19" customFormat="1" ht="28.2" customHeight="1" x14ac:dyDescent="0.3">
      <c r="A9" s="19" t="s">
        <v>85</v>
      </c>
      <c r="B9" s="19" t="s">
        <v>75</v>
      </c>
      <c r="C9" s="19" t="s">
        <v>76</v>
      </c>
      <c r="D9" s="19" t="s">
        <v>29</v>
      </c>
      <c r="E9" s="24">
        <v>4</v>
      </c>
      <c r="F9" s="25">
        <v>368.25</v>
      </c>
      <c r="G9" s="25">
        <v>130</v>
      </c>
      <c r="H9" s="26">
        <v>0</v>
      </c>
      <c r="I9" s="27">
        <f t="shared" si="6"/>
        <v>238.25</v>
      </c>
      <c r="J9" s="24" t="s">
        <v>73</v>
      </c>
      <c r="K9" s="24"/>
      <c r="L9" s="30">
        <f t="shared" si="2"/>
        <v>43.333333333333336</v>
      </c>
      <c r="M9" s="30">
        <f t="shared" si="3"/>
        <v>10.833333333333334</v>
      </c>
      <c r="N9" s="26">
        <f t="shared" si="4"/>
        <v>32.5</v>
      </c>
      <c r="O9" s="26">
        <f t="shared" si="5"/>
        <v>92.0625</v>
      </c>
      <c r="P9" s="26">
        <f t="shared" si="1"/>
        <v>59.5625</v>
      </c>
    </row>
    <row r="10" spans="1:17" s="19" customFormat="1" ht="28.2" customHeight="1" x14ac:dyDescent="0.3">
      <c r="A10" s="19" t="s">
        <v>85</v>
      </c>
      <c r="B10" s="19" t="s">
        <v>78</v>
      </c>
      <c r="C10" s="19" t="s">
        <v>45</v>
      </c>
      <c r="D10" s="19" t="s">
        <v>45</v>
      </c>
      <c r="E10" s="24">
        <v>6</v>
      </c>
      <c r="F10" s="25">
        <v>737.2</v>
      </c>
      <c r="G10" s="25">
        <v>390</v>
      </c>
      <c r="H10" s="26">
        <v>50</v>
      </c>
      <c r="I10" s="27">
        <f t="shared" si="6"/>
        <v>297.20000000000005</v>
      </c>
      <c r="J10" s="24" t="s">
        <v>73</v>
      </c>
      <c r="K10" s="24"/>
      <c r="L10" s="30">
        <f t="shared" si="2"/>
        <v>130</v>
      </c>
      <c r="M10" s="30">
        <f t="shared" si="3"/>
        <v>21.666666666666668</v>
      </c>
      <c r="N10" s="26">
        <f t="shared" si="4"/>
        <v>65</v>
      </c>
      <c r="O10" s="26">
        <f t="shared" si="5"/>
        <v>122.86666666666667</v>
      </c>
      <c r="P10" s="26">
        <f t="shared" si="1"/>
        <v>49.533333333333339</v>
      </c>
    </row>
    <row r="11" spans="1:17" s="19" customFormat="1" ht="28.2" customHeight="1" x14ac:dyDescent="0.3">
      <c r="A11" s="19" t="s">
        <v>86</v>
      </c>
      <c r="B11" s="19" t="s">
        <v>70</v>
      </c>
      <c r="C11" s="19" t="s">
        <v>14</v>
      </c>
      <c r="D11" s="19" t="s">
        <v>14</v>
      </c>
      <c r="E11" s="24">
        <v>8</v>
      </c>
      <c r="F11" s="28"/>
      <c r="G11" s="28"/>
      <c r="H11" s="26">
        <v>50</v>
      </c>
      <c r="I11" s="26">
        <f t="shared" si="6"/>
        <v>0</v>
      </c>
      <c r="J11" s="24" t="s">
        <v>81</v>
      </c>
      <c r="K11" s="24"/>
      <c r="L11" s="30">
        <f t="shared" si="2"/>
        <v>0</v>
      </c>
      <c r="M11" s="30">
        <f>L11/(E11/2)</f>
        <v>0</v>
      </c>
      <c r="N11" s="26">
        <f t="shared" si="4"/>
        <v>0</v>
      </c>
      <c r="O11" s="26">
        <f t="shared" si="5"/>
        <v>0</v>
      </c>
      <c r="P11" s="26">
        <f t="shared" si="1"/>
        <v>0</v>
      </c>
    </row>
    <row r="12" spans="1:17" s="19" customFormat="1" ht="28.2" customHeight="1" x14ac:dyDescent="0.3">
      <c r="A12" s="19" t="s">
        <v>86</v>
      </c>
      <c r="B12" s="19" t="s">
        <v>87</v>
      </c>
      <c r="C12" s="19" t="s">
        <v>10</v>
      </c>
      <c r="D12" s="19" t="s">
        <v>10</v>
      </c>
      <c r="E12" s="24">
        <v>6</v>
      </c>
      <c r="F12" s="29">
        <v>503.75</v>
      </c>
      <c r="G12" s="29">
        <v>226.1</v>
      </c>
      <c r="H12" s="26">
        <v>50</v>
      </c>
      <c r="I12" s="27">
        <f t="shared" si="6"/>
        <v>227.64999999999998</v>
      </c>
      <c r="J12" s="24" t="s">
        <v>73</v>
      </c>
      <c r="K12" s="24"/>
      <c r="L12" s="30">
        <f t="shared" si="2"/>
        <v>75.36666666666666</v>
      </c>
      <c r="M12" s="30">
        <f>L12/(E12/2)</f>
        <v>25.12222222222222</v>
      </c>
      <c r="N12" s="26">
        <f t="shared" si="4"/>
        <v>37.68333333333333</v>
      </c>
      <c r="O12" s="26">
        <f t="shared" si="5"/>
        <v>83.958333333333329</v>
      </c>
      <c r="P12" s="26">
        <f t="shared" si="1"/>
        <v>37.941666666666663</v>
      </c>
    </row>
    <row r="13" spans="1:17" s="19" customFormat="1" ht="28.2" customHeight="1" x14ac:dyDescent="0.3">
      <c r="A13" s="19" t="s">
        <v>5</v>
      </c>
      <c r="B13" s="19" t="s">
        <v>88</v>
      </c>
      <c r="C13" s="19" t="s">
        <v>31</v>
      </c>
      <c r="D13" s="19" t="s">
        <v>31</v>
      </c>
      <c r="E13" s="24">
        <v>6</v>
      </c>
      <c r="F13" s="24"/>
      <c r="G13" s="25">
        <v>0</v>
      </c>
      <c r="H13" s="26">
        <v>50</v>
      </c>
      <c r="I13" s="26">
        <f t="shared" si="6"/>
        <v>0</v>
      </c>
      <c r="J13" s="24" t="s">
        <v>89</v>
      </c>
      <c r="K13" s="24"/>
      <c r="L13" s="30">
        <f t="shared" si="2"/>
        <v>0</v>
      </c>
      <c r="M13" s="30">
        <f t="shared" si="3"/>
        <v>0</v>
      </c>
      <c r="N13" s="26">
        <f t="shared" si="4"/>
        <v>0</v>
      </c>
      <c r="O13" s="26">
        <f t="shared" si="5"/>
        <v>0</v>
      </c>
      <c r="P13" s="26">
        <f t="shared" si="1"/>
        <v>0</v>
      </c>
      <c r="Q13" s="19" t="s">
        <v>90</v>
      </c>
    </row>
    <row r="14" spans="1:17" s="19" customFormat="1" ht="28.2" customHeight="1" x14ac:dyDescent="0.3">
      <c r="A14" s="19" t="s">
        <v>5</v>
      </c>
      <c r="B14" s="19" t="s">
        <v>91</v>
      </c>
      <c r="C14" s="19" t="s">
        <v>92</v>
      </c>
      <c r="D14" s="19" t="s">
        <v>82</v>
      </c>
      <c r="E14" s="24">
        <v>6</v>
      </c>
      <c r="F14" s="27">
        <v>603.54</v>
      </c>
      <c r="G14" s="27">
        <v>417</v>
      </c>
      <c r="H14" s="26">
        <v>0</v>
      </c>
      <c r="I14" s="26">
        <f t="shared" si="6"/>
        <v>186.53999999999996</v>
      </c>
      <c r="J14" s="24" t="s">
        <v>83</v>
      </c>
      <c r="K14" s="27">
        <v>18</v>
      </c>
      <c r="L14" s="30">
        <f t="shared" si="2"/>
        <v>139</v>
      </c>
      <c r="M14" s="30">
        <f t="shared" si="3"/>
        <v>23.166666666666668</v>
      </c>
      <c r="N14" s="26">
        <f t="shared" si="4"/>
        <v>69.5</v>
      </c>
      <c r="O14" s="26">
        <f t="shared" si="5"/>
        <v>100.58999999999999</v>
      </c>
      <c r="P14" s="26">
        <f>(I14+K14)/E14</f>
        <v>34.089999999999996</v>
      </c>
    </row>
    <row r="15" spans="1:17" s="20" customFormat="1" x14ac:dyDescent="0.3">
      <c r="A15" s="20" t="s">
        <v>7</v>
      </c>
      <c r="E15" s="31"/>
      <c r="F15" s="31"/>
      <c r="G15" s="31"/>
      <c r="H15" s="31"/>
      <c r="I15" s="32">
        <f>SUM(I2:I14)</f>
        <v>1800.04</v>
      </c>
      <c r="J15" s="31"/>
      <c r="K15" s="31"/>
      <c r="L15" s="33">
        <f>SUM(L2:L14)</f>
        <v>1011.58</v>
      </c>
      <c r="M15" s="31"/>
      <c r="N15" s="31"/>
      <c r="O15" s="31"/>
      <c r="P15" s="31"/>
    </row>
    <row r="16" spans="1:17" s="20" customFormat="1" x14ac:dyDescent="0.3">
      <c r="A16" s="20" t="s">
        <v>93</v>
      </c>
      <c r="E16" s="31"/>
      <c r="F16" s="31"/>
      <c r="G16" s="31"/>
      <c r="H16" s="31"/>
      <c r="I16" s="32">
        <f>SUM('2022 Membership Income'!R31,'2022 Membership Income'!R32)</f>
        <v>1130</v>
      </c>
      <c r="J16" s="31"/>
      <c r="K16" s="31"/>
      <c r="L16" s="31"/>
      <c r="M16" s="31"/>
      <c r="N16" s="31"/>
      <c r="O16" s="31"/>
      <c r="P16" s="31"/>
    </row>
    <row r="17" spans="1:9" x14ac:dyDescent="0.3">
      <c r="A17" t="s">
        <v>94</v>
      </c>
      <c r="G17" s="18"/>
      <c r="I17" s="18">
        <f>(I15-I16)/I20</f>
        <v>7.7911627906976744</v>
      </c>
    </row>
    <row r="18" spans="1:9" x14ac:dyDescent="0.3">
      <c r="A18" t="s">
        <v>95</v>
      </c>
      <c r="I18" s="18">
        <f>(I15-I16)/L15</f>
        <v>0.6623697582000434</v>
      </c>
    </row>
    <row r="19" spans="1:9" x14ac:dyDescent="0.3">
      <c r="A19" s="9" t="s">
        <v>99</v>
      </c>
      <c r="H19" s="13" t="s">
        <v>96</v>
      </c>
      <c r="I19" s="13">
        <f>'2022 Membership Income'!S29</f>
        <v>17</v>
      </c>
    </row>
    <row r="20" spans="1:9" x14ac:dyDescent="0.3">
      <c r="A20" s="7" t="s">
        <v>97</v>
      </c>
      <c r="H20" s="13" t="s">
        <v>46</v>
      </c>
      <c r="I20" s="13">
        <f>'2022 Membership Income'!O30</f>
        <v>86</v>
      </c>
    </row>
    <row r="21" spans="1:9" x14ac:dyDescent="0.3">
      <c r="A21" s="8" t="s">
        <v>98</v>
      </c>
    </row>
  </sheetData>
  <pageMargins left="0.70866141732283472" right="0.70866141732283472" top="0.74803149606299213" bottom="0.74803149606299213" header="0.31496062992125984" footer="0.31496062992125984"/>
  <pageSetup paperSize="9" scale="56" orientation="landscape" horizontalDpi="360" verticalDpi="360" r:id="rId1"/>
  <ignoredErrors>
    <ignoredError sqref="M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Frontsheet</vt:lpstr>
      <vt:lpstr>2023 Financial Statements</vt:lpstr>
      <vt:lpstr>2023 Accounts Summary</vt:lpstr>
      <vt:lpstr>2023 Membership Income</vt:lpstr>
      <vt:lpstr>2023 Gala Expenses</vt:lpstr>
      <vt:lpstr>Statement Entries 010123-311223</vt:lpstr>
      <vt:lpstr>2022 Accounts Summary</vt:lpstr>
      <vt:lpstr>2022 Membership Income</vt:lpstr>
      <vt:lpstr>2022 Gala Expenses</vt:lpstr>
      <vt:lpstr>Statement Entries 010122-311222</vt:lpstr>
      <vt:lpstr>Statement Entries 010121-311221</vt:lpstr>
      <vt:lpstr>Statement Entries 010120-311220</vt:lpstr>
      <vt:lpstr>Statement Entries 010119-211219</vt:lpstr>
      <vt:lpstr>Frontsheet!Print_Area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Lintott</dc:creator>
  <cp:lastModifiedBy>Family Lee</cp:lastModifiedBy>
  <cp:lastPrinted>2024-01-07T12:57:57Z</cp:lastPrinted>
  <dcterms:created xsi:type="dcterms:W3CDTF">2019-05-08T21:14:55Z</dcterms:created>
  <dcterms:modified xsi:type="dcterms:W3CDTF">2024-01-07T12:58:12Z</dcterms:modified>
</cp:coreProperties>
</file>